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amalmqvist\Downloads\"/>
    </mc:Choice>
  </mc:AlternateContent>
  <xr:revisionPtr revIDLastSave="0" documentId="13_ncr:1_{4D0DF1A5-CD69-4727-94B3-E4B32AF9E43E}" xr6:coauthVersionLast="47" xr6:coauthVersionMax="47" xr10:uidLastSave="{00000000-0000-0000-0000-000000000000}"/>
  <bookViews>
    <workbookView xWindow="0" yWindow="0" windowWidth="20490" windowHeight="10920" xr2:uid="{00000000-000D-0000-FFFF-FFFF00000000}"/>
  </bookViews>
  <sheets>
    <sheet name="Front" sheetId="7" r:id="rId1"/>
    <sheet name="Revenue projections" sheetId="4" r:id="rId2"/>
    <sheet name="SN distribution" sheetId="5" r:id="rId3"/>
    <sheet name="LG finances" sheetId="6" r:id="rId4"/>
  </sheets>
  <externalReferences>
    <externalReference r:id="rId5"/>
    <externalReference r:id="rId6"/>
  </externalReferences>
  <definedNames>
    <definedName name="Gas_Oil_Conversion">'[1]Other inputs'!$D$9</definedName>
    <definedName name="general_inflation">'[1]Controls &amp; Dashboard'!$D$72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ubilee_DWT_Equity">#REF!</definedName>
    <definedName name="Jubilee_EA_Cost">#REF!</definedName>
    <definedName name="Jubilee_Flat_Opex">#REF!</definedName>
    <definedName name="jubilee_foundation_gas_price">'[1]Other inputs'!#REF!</definedName>
    <definedName name="Jubilee_LOF_Opex">#REF!</definedName>
    <definedName name="jubilee_postfoundation_gas_price">'[1]Other inputs'!#REF!</definedName>
    <definedName name="jubilee_price_selected">'[1]Other inputs'!#REF!</definedName>
    <definedName name="Jubilee_Ref_opex">#REF!</definedName>
    <definedName name="Jubilee_Ref_opex_DWT">#REF!</definedName>
    <definedName name="Jubilee_Ref_opex_WCTP">#REF!</definedName>
    <definedName name="Jubilee_WCTP_Equity">#REF!</definedName>
    <definedName name="Mineral_price">[2]Inputs!$E$200</definedName>
    <definedName name="mmscf_mmbtu_conversion">'[1]Other inputs'!$D$7</definedName>
    <definedName name="OCTP_Aband_Years">#REF!</definedName>
    <definedName name="OCTP_Cost_Index">#REF!</definedName>
    <definedName name="OCTP_Decom_Cost">#REF!</definedName>
    <definedName name="OCTP_EA_Costs">#REF!</definedName>
    <definedName name="OCTP_Flat_Opex">#REF!</definedName>
    <definedName name="OCTP_gas_price">'[1]Other inputs'!#REF!</definedName>
    <definedName name="OCTP_GNPC_NCF">#REF!</definedName>
    <definedName name="OCTP_IOC">#REF!</definedName>
    <definedName name="OCTP_IOC_AOE">#REF!</definedName>
    <definedName name="OCTP_IOC_EACosts_Cashbasis">#REF!</definedName>
    <definedName name="OCTP_IOC_Gross_Rev">#REF!</definedName>
    <definedName name="OCTP_IOC_Recoverable_Costs">#REF!</definedName>
    <definedName name="OCTP_IOCCapex_CashBasis">#REF!</definedName>
    <definedName name="OCTP_LOF_Opex">#REF!</definedName>
    <definedName name="OCTP_NetPostRoyalty_Rev_Nominal">#REF!</definedName>
    <definedName name="OCTP_NOC_Share_Net_Revenue">#REF!</definedName>
    <definedName name="OCTP_Oil_Index">#REF!</definedName>
    <definedName name="OCTP_Price_Selected">'[1]Other inputs'!#REF!</definedName>
    <definedName name="OCTP_Recoverable_Costs_Cash_Basis">#REF!</definedName>
    <definedName name="OCTP_Ref_Opex">#REF!</definedName>
    <definedName name="OCTP_Royalties">#REF!</definedName>
    <definedName name="OCTP_Select_Reference_Capex">#REF!</definedName>
    <definedName name="OCTP_Selected_Gas_Production_Profile">#REF!</definedName>
    <definedName name="OCTP_Selected_Oil_Production_Profile">#REF!</definedName>
    <definedName name="OCTP_State_Equity_Costs">#REF!</definedName>
    <definedName name="OCTP_Surface_Rentals">#REF!</definedName>
    <definedName name="OCTP_WithholdingTax_Interest">#REF!</definedName>
    <definedName name="oil_inflation">'[1]Other inputs'!#REF!</definedName>
    <definedName name="Select_Reference_Capex_DWT">#REF!</definedName>
    <definedName name="Select_Reference_Capex_WCTP">#REF!</definedName>
    <definedName name="Selected_Gas_Production_Profile_DWT">#REF!</definedName>
    <definedName name="Selected_Gas_Production_Profile_WCTP">#REF!</definedName>
    <definedName name="Selected_Jubilee_Gas_Production_Profile">#REF!</definedName>
    <definedName name="Selected_Jubilee_Oil_Production_Profile">#REF!</definedName>
    <definedName name="Selected_Jubilee_Ref_Capex">#REF!</definedName>
    <definedName name="Selected_OCTP_Partner_Equity">#REF!</definedName>
    <definedName name="Selected_Oil_Production_Profile_DWT">#REF!</definedName>
    <definedName name="Selected_Oil_Production_Profile_WCTP">#REF!</definedName>
    <definedName name="Selected_TEN_Associated_Gas_Production_Profile">#REF!</definedName>
    <definedName name="Selected_TEN_Non_Associated_Gas_Production_Profile">#REF!</definedName>
    <definedName name="Selected_TEN_Oil_Production_Profile">#REF!</definedName>
    <definedName name="Selected_TEN_Partner_Equity">#REF!</definedName>
    <definedName name="TEN_Aband_Years">#REF!</definedName>
    <definedName name="TEN_Associated_Gas_price">'[1]Other inputs'!#REF!</definedName>
    <definedName name="TEN_Cost_Index">#REF!</definedName>
    <definedName name="TEN_Decom_Cost">#REF!</definedName>
    <definedName name="TEN_EA_Cost">#REF!</definedName>
    <definedName name="TEN_EACosts_Cashbasis">#REF!</definedName>
    <definedName name="TEN_Flat_Opex">#REF!</definedName>
    <definedName name="TEN_GNPC_NCF">#REF!</definedName>
    <definedName name="TEN_IOC">#REF!</definedName>
    <definedName name="TEN_IOC_AOE">#REF!</definedName>
    <definedName name="TEN_IOC_Gross_Rev">#REF!</definedName>
    <definedName name="TEN_IOCCapex_CashBasis">#REF!</definedName>
    <definedName name="TEN_LOF_Opex">#REF!</definedName>
    <definedName name="TEN_NetPostRoyalty_Rev_Nominal">#REF!</definedName>
    <definedName name="TEN_NOC_Gross_Rev">#REF!</definedName>
    <definedName name="TEN_Non_Associated_gas_price">'[1]Other inputs'!#REF!</definedName>
    <definedName name="TEN_NonAssoc_Gas_Prod">#REF!</definedName>
    <definedName name="TEN_NonAssoc_Price">#REF!</definedName>
    <definedName name="TEN_Oil_Index">#REF!</definedName>
    <definedName name="TEN_price_selected">'[1]Other inputs'!#REF!</definedName>
    <definedName name="TEN_Prod_Yrs">#REF!</definedName>
    <definedName name="TEN_Recoverable_Costs_AOE">#REF!</definedName>
    <definedName name="TEN_Ref_Opex">#REF!</definedName>
    <definedName name="TEN_Reference_Capex">#REF!</definedName>
    <definedName name="TEN_Royalties_Nominal">#REF!</definedName>
    <definedName name="TEN_State_Equity_Costs">#REF!</definedName>
    <definedName name="TEN_Surface_Rentals">#REF!</definedName>
    <definedName name="TEN_Total_Gas_Prod">#REF!</definedName>
    <definedName name="TEN_Witholding_Tax_Interest">#REF!</definedName>
    <definedName name="WCTP_Amortised_Interest">#REF!</definedName>
    <definedName name="WCTP_IOC">#REF!</definedName>
    <definedName name="WCTP_Jubilee_IOCCapex_CashBasis">#REF!</definedName>
    <definedName name="WCTP_jubilee_price_selected">'[1]Other inputs'!#REF!</definedName>
    <definedName name="WTCP_IOC_EACosts_Cashbasi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 i="4" l="1"/>
  <c r="G37" i="6"/>
  <c r="G34" i="6"/>
  <c r="G35" i="6"/>
  <c r="G36" i="6"/>
  <c r="I36" i="6" s="1"/>
  <c r="C38" i="6"/>
  <c r="D38" i="6"/>
  <c r="E38" i="6"/>
  <c r="F38" i="6"/>
  <c r="H38" i="6"/>
  <c r="G5" i="6"/>
  <c r="I5" i="6" s="1"/>
  <c r="G6" i="6"/>
  <c r="I6" i="6" s="1"/>
  <c r="G7" i="6"/>
  <c r="I7" i="6" s="1"/>
  <c r="G8" i="6"/>
  <c r="I8" i="6" s="1"/>
  <c r="G9" i="6"/>
  <c r="I9" i="6" s="1"/>
  <c r="G10" i="6"/>
  <c r="I10" i="6" s="1"/>
  <c r="G11" i="6"/>
  <c r="I11" i="6" s="1"/>
  <c r="G12" i="6"/>
  <c r="I12" i="6" s="1"/>
  <c r="G13" i="6"/>
  <c r="I13" i="6" s="1"/>
  <c r="G14" i="6"/>
  <c r="I14" i="6" s="1"/>
  <c r="G15" i="6"/>
  <c r="I15" i="6" s="1"/>
  <c r="G16" i="6"/>
  <c r="I16" i="6" s="1"/>
  <c r="G17" i="6"/>
  <c r="I17" i="6" s="1"/>
  <c r="G18" i="6"/>
  <c r="I18" i="6" s="1"/>
  <c r="G19" i="6"/>
  <c r="I19" i="6" s="1"/>
  <c r="G20" i="6"/>
  <c r="I20" i="6" s="1"/>
  <c r="G21" i="6"/>
  <c r="I21" i="6" s="1"/>
  <c r="G22" i="6"/>
  <c r="I22" i="6" s="1"/>
  <c r="G23" i="6"/>
  <c r="I23" i="6" s="1"/>
  <c r="G24" i="6"/>
  <c r="I24" i="6" s="1"/>
  <c r="G25" i="6"/>
  <c r="I25" i="6" s="1"/>
  <c r="G26" i="6"/>
  <c r="I26" i="6" s="1"/>
  <c r="G27" i="6"/>
  <c r="I27" i="6" s="1"/>
  <c r="G28" i="6"/>
  <c r="I28" i="6" s="1"/>
  <c r="G29" i="6"/>
  <c r="I29" i="6" s="1"/>
  <c r="G30" i="6"/>
  <c r="I30" i="6" s="1"/>
  <c r="G31" i="6"/>
  <c r="I31" i="6" s="1"/>
  <c r="G32" i="6"/>
  <c r="I32" i="6" s="1"/>
  <c r="G33" i="6"/>
  <c r="I33" i="6" s="1"/>
  <c r="I37" i="6"/>
  <c r="G4" i="6"/>
  <c r="I35" i="6" l="1"/>
  <c r="I34" i="6"/>
  <c r="G38" i="6"/>
  <c r="I4" i="6"/>
  <c r="I38" i="6" l="1"/>
  <c r="J47" i="5" l="1"/>
  <c r="K46" i="5" s="1"/>
  <c r="K14" i="5" l="1"/>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13" i="5"/>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4" i="6"/>
  <c r="K47" i="5" l="1"/>
  <c r="B68" i="4"/>
  <c r="F64" i="5" s="1"/>
  <c r="F63" i="5"/>
  <c r="C150" i="4"/>
  <c r="C151" i="4"/>
  <c r="C149" i="4"/>
  <c r="C146" i="4"/>
  <c r="C147" i="4"/>
  <c r="C145" i="4"/>
  <c r="C142" i="4"/>
  <c r="C143" i="4"/>
  <c r="C141" i="4"/>
  <c r="C137" i="4"/>
  <c r="C138" i="4"/>
  <c r="C136" i="4"/>
  <c r="C133" i="4"/>
  <c r="C134" i="4"/>
  <c r="C132" i="4"/>
  <c r="C129" i="4"/>
  <c r="C130" i="4"/>
  <c r="C128" i="4"/>
  <c r="C94" i="4"/>
  <c r="C95" i="4"/>
  <c r="C93" i="4"/>
  <c r="C90" i="4"/>
  <c r="C91" i="4"/>
  <c r="C89" i="4"/>
  <c r="C86" i="4"/>
  <c r="C87" i="4"/>
  <c r="C85" i="4"/>
  <c r="C81" i="4"/>
  <c r="C82" i="4"/>
  <c r="C80" i="4"/>
  <c r="C77" i="4"/>
  <c r="C78" i="4"/>
  <c r="C76" i="4"/>
  <c r="C73" i="4"/>
  <c r="C74" i="4"/>
  <c r="C72" i="4"/>
  <c r="C69" i="4"/>
  <c r="C123" i="4"/>
  <c r="C124" i="4"/>
  <c r="C122" i="4"/>
  <c r="C119" i="4"/>
  <c r="C120" i="4"/>
  <c r="C118" i="4"/>
  <c r="C115" i="4"/>
  <c r="C116" i="4"/>
  <c r="C114" i="4"/>
  <c r="C111" i="4"/>
  <c r="C112" i="4"/>
  <c r="C110" i="4"/>
  <c r="C107" i="4"/>
  <c r="C108" i="4"/>
  <c r="C106" i="4"/>
  <c r="C102" i="4"/>
  <c r="C103" i="4"/>
  <c r="C101" i="4"/>
  <c r="C63" i="4" l="1"/>
  <c r="C64" i="4"/>
  <c r="C59" i="4"/>
  <c r="C60" i="4"/>
  <c r="C62" i="4"/>
  <c r="C58" i="4"/>
  <c r="C56" i="4"/>
  <c r="E5" i="5"/>
  <c r="E6" i="5"/>
  <c r="E4" i="5"/>
  <c r="C52" i="4"/>
  <c r="C53" i="4"/>
  <c r="C51" i="4"/>
  <c r="C48" i="4"/>
  <c r="C49" i="4"/>
  <c r="C47" i="4"/>
  <c r="C44" i="4"/>
  <c r="C45" i="4"/>
  <c r="C43" i="4"/>
  <c r="C37" i="4"/>
  <c r="C38" i="4"/>
  <c r="C36" i="4"/>
  <c r="C30" i="4"/>
  <c r="C31" i="4"/>
  <c r="C29" i="4"/>
  <c r="C24" i="4"/>
  <c r="C25" i="4"/>
  <c r="C23" i="4"/>
  <c r="C15" i="4"/>
  <c r="C16" i="4"/>
  <c r="C14" i="4"/>
  <c r="H47" i="5"/>
  <c r="D23" i="4"/>
  <c r="D4" i="4"/>
  <c r="D6" i="4" s="1"/>
  <c r="E4" i="4"/>
  <c r="E6" i="4" s="1"/>
  <c r="F4" i="4"/>
  <c r="F6" i="4" s="1"/>
  <c r="G4" i="4"/>
  <c r="G6" i="4" s="1"/>
  <c r="H4" i="4"/>
  <c r="H6" i="4" s="1"/>
  <c r="I4" i="4"/>
  <c r="I6" i="4" s="1"/>
  <c r="J4" i="4"/>
  <c r="J6" i="4" s="1"/>
  <c r="K4" i="4"/>
  <c r="K6" i="4" s="1"/>
  <c r="L4" i="4"/>
  <c r="L6" i="4" s="1"/>
  <c r="M4" i="4"/>
  <c r="M6" i="4" s="1"/>
  <c r="N4" i="4"/>
  <c r="N6" i="4" s="1"/>
  <c r="O4" i="4"/>
  <c r="O6" i="4" s="1"/>
  <c r="P4" i="4"/>
  <c r="P6" i="4" s="1"/>
  <c r="Q4" i="4"/>
  <c r="Q6" i="4" s="1"/>
  <c r="R4" i="4"/>
  <c r="R6" i="4" s="1"/>
  <c r="S4" i="4"/>
  <c r="S6" i="4" s="1"/>
  <c r="T4" i="4"/>
  <c r="T6" i="4" s="1"/>
  <c r="U4" i="4"/>
  <c r="U6" i="4" s="1"/>
  <c r="V4" i="4"/>
  <c r="V6" i="4" s="1"/>
  <c r="W4" i="4"/>
  <c r="W6" i="4" s="1"/>
  <c r="X4" i="4"/>
  <c r="X6" i="4" s="1"/>
  <c r="Y4" i="4"/>
  <c r="Y6" i="4" s="1"/>
  <c r="Z4" i="4"/>
  <c r="Z6" i="4" s="1"/>
  <c r="AA4" i="4"/>
  <c r="AA6" i="4" s="1"/>
  <c r="AB4" i="4"/>
  <c r="AB6" i="4" s="1"/>
  <c r="AC4" i="4"/>
  <c r="AC6" i="4" s="1"/>
  <c r="AD4" i="4"/>
  <c r="AD6" i="4" s="1"/>
  <c r="AE4" i="4"/>
  <c r="AE6" i="4" s="1"/>
  <c r="AF4" i="4"/>
  <c r="AF6" i="4" s="1"/>
  <c r="AG4" i="4"/>
  <c r="AG6" i="4" s="1"/>
  <c r="AH4" i="4"/>
  <c r="AH6" i="4" s="1"/>
  <c r="AI4" i="4"/>
  <c r="AI6" i="4" s="1"/>
  <c r="AJ4" i="4"/>
  <c r="AJ6" i="4" s="1"/>
  <c r="AK4" i="4"/>
  <c r="AK6" i="4" s="1"/>
  <c r="AL4" i="4"/>
  <c r="AL6" i="4" s="1"/>
  <c r="AM4" i="4"/>
  <c r="AM6" i="4" s="1"/>
  <c r="AN4" i="4"/>
  <c r="AN6" i="4" s="1"/>
  <c r="AO4" i="4"/>
  <c r="AO6" i="4" s="1"/>
  <c r="AP4" i="4"/>
  <c r="AP6" i="4" s="1"/>
  <c r="I23" i="5" l="1"/>
  <c r="I20" i="5"/>
  <c r="I25" i="5"/>
  <c r="I43" i="5"/>
  <c r="I42" i="5"/>
  <c r="I21" i="5"/>
  <c r="I41" i="5"/>
  <c r="I46" i="5"/>
  <c r="I30" i="5"/>
  <c r="I17" i="5"/>
  <c r="I13" i="5"/>
  <c r="I26" i="5"/>
  <c r="I36" i="5"/>
  <c r="I44" i="5"/>
  <c r="I32" i="5"/>
  <c r="I37" i="5"/>
  <c r="I24" i="5"/>
  <c r="I15" i="5"/>
  <c r="I28" i="5"/>
  <c r="I35" i="5"/>
  <c r="I27" i="5"/>
  <c r="I40" i="5"/>
  <c r="I22" i="5"/>
  <c r="I34" i="5"/>
  <c r="I31" i="5"/>
  <c r="I38" i="5"/>
  <c r="I19" i="5"/>
  <c r="I45" i="5"/>
  <c r="I39" i="5"/>
  <c r="I18" i="5"/>
  <c r="I33" i="5"/>
  <c r="I16" i="5"/>
  <c r="I29" i="5"/>
  <c r="Z25" i="4"/>
  <c r="Z31" i="4" s="1"/>
  <c r="Z38" i="4" s="1"/>
  <c r="AO24" i="4"/>
  <c r="AO30" i="4" s="1"/>
  <c r="AO37" i="4" s="1"/>
  <c r="AL25" i="4"/>
  <c r="AL31" i="4" s="1"/>
  <c r="AL38" i="4" s="1"/>
  <c r="AP25" i="4"/>
  <c r="AP31" i="4" s="1"/>
  <c r="AP38" i="4" s="1"/>
  <c r="AO25" i="4"/>
  <c r="AO31" i="4" s="1"/>
  <c r="AO38" i="4" s="1"/>
  <c r="Z23" i="4"/>
  <c r="Z29" i="4" s="1"/>
  <c r="Z36" i="4" s="1"/>
  <c r="N23" i="4"/>
  <c r="N29" i="4" s="1"/>
  <c r="N36" i="4" s="1"/>
  <c r="P23" i="4"/>
  <c r="P29" i="4" s="1"/>
  <c r="P36" i="4" s="1"/>
  <c r="J23" i="4"/>
  <c r="J29" i="4" s="1"/>
  <c r="J36" i="4" s="1"/>
  <c r="I14" i="5"/>
  <c r="AG24" i="4"/>
  <c r="AG30" i="4" s="1"/>
  <c r="AG37" i="4" s="1"/>
  <c r="AE25" i="4"/>
  <c r="AE31" i="4" s="1"/>
  <c r="AE38" i="4" s="1"/>
  <c r="AK24" i="4"/>
  <c r="AK30" i="4" s="1"/>
  <c r="AK37" i="4" s="1"/>
  <c r="AH23" i="4"/>
  <c r="AH29" i="4" s="1"/>
  <c r="AH36" i="4" s="1"/>
  <c r="AC25" i="4"/>
  <c r="AC31" i="4" s="1"/>
  <c r="AC38" i="4" s="1"/>
  <c r="AN23" i="4"/>
  <c r="AN29" i="4" s="1"/>
  <c r="AN36" i="4" s="1"/>
  <c r="AN24" i="4"/>
  <c r="AN30" i="4" s="1"/>
  <c r="AN37" i="4" s="1"/>
  <c r="AD23" i="4"/>
  <c r="AD29" i="4" s="1"/>
  <c r="AD36" i="4" s="1"/>
  <c r="AB25" i="4"/>
  <c r="AB31" i="4" s="1"/>
  <c r="AB38" i="4" s="1"/>
  <c r="AH25" i="4"/>
  <c r="AH31" i="4" s="1"/>
  <c r="AH38" i="4" s="1"/>
  <c r="T23" i="4"/>
  <c r="T29" i="4" s="1"/>
  <c r="T36" i="4" s="1"/>
  <c r="G25" i="4"/>
  <c r="G31" i="4" s="1"/>
  <c r="G38" i="4" s="1"/>
  <c r="T25" i="4"/>
  <c r="T31" i="4" s="1"/>
  <c r="T38" i="4" s="1"/>
  <c r="R25" i="4"/>
  <c r="R31" i="4" s="1"/>
  <c r="R38" i="4" s="1"/>
  <c r="O25" i="4"/>
  <c r="O31" i="4" s="1"/>
  <c r="O38" i="4" s="1"/>
  <c r="M25" i="4"/>
  <c r="M31" i="4" s="1"/>
  <c r="M38" i="4" s="1"/>
  <c r="J25" i="4"/>
  <c r="J31" i="4" s="1"/>
  <c r="J38" i="4" s="1"/>
  <c r="W25" i="4"/>
  <c r="W31" i="4" s="1"/>
  <c r="W38" i="4" s="1"/>
  <c r="U25" i="4"/>
  <c r="U31" i="4" s="1"/>
  <c r="U38" i="4" s="1"/>
  <c r="L25" i="4"/>
  <c r="L31" i="4" s="1"/>
  <c r="L38" i="4" s="1"/>
  <c r="AM24" i="4"/>
  <c r="AM30" i="4" s="1"/>
  <c r="AM37" i="4" s="1"/>
  <c r="AM25" i="4"/>
  <c r="AM31" i="4" s="1"/>
  <c r="AM38" i="4" s="1"/>
  <c r="AF23" i="4"/>
  <c r="AF29" i="4" s="1"/>
  <c r="AF36" i="4" s="1"/>
  <c r="R23" i="4"/>
  <c r="R29" i="4" s="1"/>
  <c r="R36" i="4" s="1"/>
  <c r="AD25" i="4"/>
  <c r="AD31" i="4" s="1"/>
  <c r="AD38" i="4" s="1"/>
  <c r="V25" i="4"/>
  <c r="V31" i="4" s="1"/>
  <c r="V38" i="4" s="1"/>
  <c r="N25" i="4"/>
  <c r="N31" i="4" s="1"/>
  <c r="N38" i="4" s="1"/>
  <c r="E25" i="4"/>
  <c r="E31" i="4" s="1"/>
  <c r="E38" i="4" s="1"/>
  <c r="AG25" i="4"/>
  <c r="AG31" i="4" s="1"/>
  <c r="AG38" i="4" s="1"/>
  <c r="AP23" i="4"/>
  <c r="AP29" i="4" s="1"/>
  <c r="AP36" i="4" s="1"/>
  <c r="AB23" i="4"/>
  <c r="AB29" i="4" s="1"/>
  <c r="AB36" i="4" s="1"/>
  <c r="L23" i="4"/>
  <c r="L29" i="4" s="1"/>
  <c r="L36" i="4" s="1"/>
  <c r="AA25" i="4"/>
  <c r="AA31" i="4" s="1"/>
  <c r="AA38" i="4" s="1"/>
  <c r="S25" i="4"/>
  <c r="S31" i="4" s="1"/>
  <c r="S38" i="4" s="1"/>
  <c r="K25" i="4"/>
  <c r="K31" i="4" s="1"/>
  <c r="K38" i="4" s="1"/>
  <c r="F24" i="4"/>
  <c r="F30" i="4" s="1"/>
  <c r="F37" i="4" s="1"/>
  <c r="AI24" i="4"/>
  <c r="AI30" i="4" s="1"/>
  <c r="AI37" i="4" s="1"/>
  <c r="AI25" i="4"/>
  <c r="AI31" i="4" s="1"/>
  <c r="AI38" i="4" s="1"/>
  <c r="AL23" i="4"/>
  <c r="AL29" i="4" s="1"/>
  <c r="AL36" i="4" s="1"/>
  <c r="X23" i="4"/>
  <c r="X29" i="4" s="1"/>
  <c r="X36" i="4" s="1"/>
  <c r="H23" i="4"/>
  <c r="H29" i="4" s="1"/>
  <c r="H36" i="4" s="1"/>
  <c r="Y25" i="4"/>
  <c r="Y31" i="4" s="1"/>
  <c r="Y38" i="4" s="1"/>
  <c r="Q25" i="4"/>
  <c r="Q31" i="4" s="1"/>
  <c r="Q38" i="4" s="1"/>
  <c r="I25" i="4"/>
  <c r="I31" i="4" s="1"/>
  <c r="I38" i="4" s="1"/>
  <c r="AJ24" i="4"/>
  <c r="AJ30" i="4" s="1"/>
  <c r="AJ37" i="4" s="1"/>
  <c r="AK25" i="4"/>
  <c r="AK31" i="4" s="1"/>
  <c r="AK38" i="4" s="1"/>
  <c r="AJ23" i="4"/>
  <c r="AJ29" i="4" s="1"/>
  <c r="AJ36" i="4" s="1"/>
  <c r="V23" i="4"/>
  <c r="V29" i="4" s="1"/>
  <c r="V36" i="4" s="1"/>
  <c r="AF25" i="4"/>
  <c r="AF31" i="4" s="1"/>
  <c r="AF38" i="4" s="1"/>
  <c r="X25" i="4"/>
  <c r="X31" i="4" s="1"/>
  <c r="X38" i="4" s="1"/>
  <c r="P25" i="4"/>
  <c r="P31" i="4" s="1"/>
  <c r="P38" i="4" s="1"/>
  <c r="H25" i="4"/>
  <c r="H31" i="4" s="1"/>
  <c r="H38" i="4" s="1"/>
  <c r="D29" i="4"/>
  <c r="D36" i="4" s="1"/>
  <c r="C7" i="4"/>
  <c r="AF24" i="4"/>
  <c r="AF30" i="4" s="1"/>
  <c r="AF37" i="4" s="1"/>
  <c r="AD24" i="4"/>
  <c r="AD30" i="4" s="1"/>
  <c r="AD37" i="4" s="1"/>
  <c r="AB24" i="4"/>
  <c r="AB30" i="4" s="1"/>
  <c r="AB37" i="4" s="1"/>
  <c r="Z24" i="4"/>
  <c r="Z30" i="4" s="1"/>
  <c r="Z37" i="4" s="1"/>
  <c r="X24" i="4"/>
  <c r="X30" i="4" s="1"/>
  <c r="X37" i="4" s="1"/>
  <c r="V24" i="4"/>
  <c r="V30" i="4" s="1"/>
  <c r="V37" i="4" s="1"/>
  <c r="T24" i="4"/>
  <c r="T30" i="4" s="1"/>
  <c r="T37" i="4" s="1"/>
  <c r="R24" i="4"/>
  <c r="R30" i="4" s="1"/>
  <c r="R37" i="4" s="1"/>
  <c r="P24" i="4"/>
  <c r="P30" i="4" s="1"/>
  <c r="P37" i="4" s="1"/>
  <c r="N24" i="4"/>
  <c r="N30" i="4" s="1"/>
  <c r="N37" i="4" s="1"/>
  <c r="L24" i="4"/>
  <c r="L30" i="4" s="1"/>
  <c r="L37" i="4" s="1"/>
  <c r="J24" i="4"/>
  <c r="J30" i="4" s="1"/>
  <c r="J37" i="4" s="1"/>
  <c r="H24" i="4"/>
  <c r="H30" i="4" s="1"/>
  <c r="H37" i="4" s="1"/>
  <c r="D25" i="4"/>
  <c r="D31" i="4" s="1"/>
  <c r="C4" i="4"/>
  <c r="AO23" i="4"/>
  <c r="AO29" i="4" s="1"/>
  <c r="AO36" i="4" s="1"/>
  <c r="AM23" i="4"/>
  <c r="AM29" i="4" s="1"/>
  <c r="AM36" i="4" s="1"/>
  <c r="AK23" i="4"/>
  <c r="AK29" i="4" s="1"/>
  <c r="AK36" i="4" s="1"/>
  <c r="AI23" i="4"/>
  <c r="AI29" i="4" s="1"/>
  <c r="AI36" i="4" s="1"/>
  <c r="AG23" i="4"/>
  <c r="AG29" i="4" s="1"/>
  <c r="AG36" i="4" s="1"/>
  <c r="AE23" i="4"/>
  <c r="AE29" i="4" s="1"/>
  <c r="AE36" i="4" s="1"/>
  <c r="AC23" i="4"/>
  <c r="AC29" i="4" s="1"/>
  <c r="AC36" i="4" s="1"/>
  <c r="AA23" i="4"/>
  <c r="AA29" i="4" s="1"/>
  <c r="AA36" i="4" s="1"/>
  <c r="Y23" i="4"/>
  <c r="Y29" i="4" s="1"/>
  <c r="Y36" i="4" s="1"/>
  <c r="W23" i="4"/>
  <c r="W29" i="4" s="1"/>
  <c r="W36" i="4" s="1"/>
  <c r="U23" i="4"/>
  <c r="U29" i="4" s="1"/>
  <c r="U36" i="4" s="1"/>
  <c r="S23" i="4"/>
  <c r="S29" i="4" s="1"/>
  <c r="S36" i="4" s="1"/>
  <c r="Q23" i="4"/>
  <c r="Q29" i="4" s="1"/>
  <c r="Q36" i="4" s="1"/>
  <c r="O23" i="4"/>
  <c r="O29" i="4" s="1"/>
  <c r="O36" i="4" s="1"/>
  <c r="M23" i="4"/>
  <c r="M29" i="4" s="1"/>
  <c r="M36" i="4" s="1"/>
  <c r="K23" i="4"/>
  <c r="K29" i="4" s="1"/>
  <c r="K36" i="4" s="1"/>
  <c r="I23" i="4"/>
  <c r="I29" i="4" s="1"/>
  <c r="I36" i="4" s="1"/>
  <c r="G23" i="4"/>
  <c r="G29" i="4" s="1"/>
  <c r="G36" i="4" s="1"/>
  <c r="C6" i="4"/>
  <c r="E24" i="4"/>
  <c r="E30" i="4" s="1"/>
  <c r="E37" i="4" s="1"/>
  <c r="D24" i="4"/>
  <c r="D30" i="4" s="1"/>
  <c r="D37" i="4" s="1"/>
  <c r="AE24" i="4"/>
  <c r="AE30" i="4" s="1"/>
  <c r="AE37" i="4" s="1"/>
  <c r="AC24" i="4"/>
  <c r="AC30" i="4" s="1"/>
  <c r="AC37" i="4" s="1"/>
  <c r="AA24" i="4"/>
  <c r="AA30" i="4" s="1"/>
  <c r="AA37" i="4" s="1"/>
  <c r="Y24" i="4"/>
  <c r="Y30" i="4" s="1"/>
  <c r="Y37" i="4" s="1"/>
  <c r="W24" i="4"/>
  <c r="W30" i="4" s="1"/>
  <c r="W37" i="4" s="1"/>
  <c r="U24" i="4"/>
  <c r="U30" i="4" s="1"/>
  <c r="U37" i="4" s="1"/>
  <c r="S24" i="4"/>
  <c r="S30" i="4" s="1"/>
  <c r="S37" i="4" s="1"/>
  <c r="Q24" i="4"/>
  <c r="Q30" i="4" s="1"/>
  <c r="Q37" i="4" s="1"/>
  <c r="O24" i="4"/>
  <c r="O30" i="4" s="1"/>
  <c r="O37" i="4" s="1"/>
  <c r="M24" i="4"/>
  <c r="M30" i="4" s="1"/>
  <c r="M37" i="4" s="1"/>
  <c r="K24" i="4"/>
  <c r="K30" i="4" s="1"/>
  <c r="K37" i="4" s="1"/>
  <c r="I24" i="4"/>
  <c r="I30" i="4" s="1"/>
  <c r="I37" i="4" s="1"/>
  <c r="G24" i="4"/>
  <c r="G30" i="4" s="1"/>
  <c r="G37" i="4" s="1"/>
  <c r="F23" i="4"/>
  <c r="F29" i="4" s="1"/>
  <c r="F36" i="4" s="1"/>
  <c r="AH24" i="4"/>
  <c r="AH30" i="4" s="1"/>
  <c r="AH37" i="4" s="1"/>
  <c r="AL24" i="4"/>
  <c r="AL30" i="4" s="1"/>
  <c r="AL37" i="4" s="1"/>
  <c r="AP24" i="4"/>
  <c r="AP30" i="4" s="1"/>
  <c r="AP37" i="4" s="1"/>
  <c r="AJ25" i="4"/>
  <c r="AJ31" i="4" s="1"/>
  <c r="AJ38" i="4" s="1"/>
  <c r="AN25" i="4"/>
  <c r="AN31" i="4" s="1"/>
  <c r="AN38" i="4" s="1"/>
  <c r="E23" i="4"/>
  <c r="E29" i="4" s="1"/>
  <c r="E36" i="4" s="1"/>
  <c r="F25" i="4"/>
  <c r="F31" i="4" s="1"/>
  <c r="F38" i="4" s="1"/>
  <c r="AN74" i="4" l="1"/>
  <c r="AN130" i="4" s="1"/>
  <c r="AN87" i="4"/>
  <c r="AN143" i="4" s="1"/>
  <c r="K72" i="4"/>
  <c r="K128" i="4" s="1"/>
  <c r="K85" i="4"/>
  <c r="K141" i="4" s="1"/>
  <c r="D72" i="4"/>
  <c r="D128" i="4" s="1"/>
  <c r="D85" i="4"/>
  <c r="D141" i="4" s="1"/>
  <c r="R74" i="4"/>
  <c r="R130" i="4" s="1"/>
  <c r="R87" i="4"/>
  <c r="R143" i="4" s="1"/>
  <c r="P72" i="4"/>
  <c r="P128" i="4" s="1"/>
  <c r="P85" i="4"/>
  <c r="P141" i="4" s="1"/>
  <c r="M72" i="4"/>
  <c r="M128" i="4" s="1"/>
  <c r="M85" i="4"/>
  <c r="M141" i="4" s="1"/>
  <c r="I74" i="4"/>
  <c r="I130" i="4" s="1"/>
  <c r="I87" i="4"/>
  <c r="I143" i="4" s="1"/>
  <c r="AC74" i="4"/>
  <c r="AC130" i="4" s="1"/>
  <c r="AC87" i="4"/>
  <c r="AC143" i="4" s="1"/>
  <c r="O73" i="4"/>
  <c r="O129" i="4" s="1"/>
  <c r="O86" i="4"/>
  <c r="O142" i="4" s="1"/>
  <c r="AE72" i="4"/>
  <c r="AE128" i="4" s="1"/>
  <c r="AE85" i="4"/>
  <c r="AE141" i="4" s="1"/>
  <c r="P74" i="4"/>
  <c r="P130" i="4" s="1"/>
  <c r="P87" i="4"/>
  <c r="P143" i="4" s="1"/>
  <c r="L74" i="4"/>
  <c r="L130" i="4" s="1"/>
  <c r="L87" i="4"/>
  <c r="L143" i="4" s="1"/>
  <c r="AL73" i="4"/>
  <c r="AL129" i="4" s="1"/>
  <c r="AL86" i="4"/>
  <c r="AL142" i="4" s="1"/>
  <c r="Q73" i="4"/>
  <c r="Q129" i="4" s="1"/>
  <c r="Q86" i="4"/>
  <c r="Q142" i="4" s="1"/>
  <c r="D73" i="4"/>
  <c r="D129" i="4" s="1"/>
  <c r="D86" i="4"/>
  <c r="D142" i="4" s="1"/>
  <c r="Q72" i="4"/>
  <c r="Q128" i="4" s="1"/>
  <c r="Q85" i="4"/>
  <c r="Q141" i="4" s="1"/>
  <c r="AG72" i="4"/>
  <c r="AG128" i="4" s="1"/>
  <c r="AG85" i="4"/>
  <c r="AG141" i="4" s="1"/>
  <c r="J73" i="4"/>
  <c r="J129" i="4" s="1"/>
  <c r="J86" i="4"/>
  <c r="J142" i="4" s="1"/>
  <c r="Z73" i="4"/>
  <c r="Z129" i="4" s="1"/>
  <c r="Z86" i="4"/>
  <c r="Z142" i="4" s="1"/>
  <c r="X74" i="4"/>
  <c r="X130" i="4" s="1"/>
  <c r="X87" i="4"/>
  <c r="X143" i="4" s="1"/>
  <c r="Y74" i="4"/>
  <c r="Y130" i="4" s="1"/>
  <c r="Y87" i="4"/>
  <c r="Y143" i="4" s="1"/>
  <c r="S74" i="4"/>
  <c r="S130" i="4" s="1"/>
  <c r="S87" i="4"/>
  <c r="S143" i="4" s="1"/>
  <c r="V74" i="4"/>
  <c r="V130" i="4" s="1"/>
  <c r="V87" i="4"/>
  <c r="V143" i="4" s="1"/>
  <c r="U74" i="4"/>
  <c r="U130" i="4" s="1"/>
  <c r="U87" i="4"/>
  <c r="U143" i="4" s="1"/>
  <c r="T72" i="4"/>
  <c r="T128" i="4" s="1"/>
  <c r="T85" i="4"/>
  <c r="T141" i="4" s="1"/>
  <c r="AK73" i="4"/>
  <c r="AK129" i="4" s="1"/>
  <c r="AK86" i="4"/>
  <c r="AK142" i="4" s="1"/>
  <c r="AO74" i="4"/>
  <c r="AO130" i="4" s="1"/>
  <c r="AO87" i="4"/>
  <c r="AO143" i="4" s="1"/>
  <c r="AA73" i="4"/>
  <c r="AA129" i="4" s="1"/>
  <c r="AA86" i="4"/>
  <c r="AA142" i="4" s="1"/>
  <c r="AJ73" i="4"/>
  <c r="AJ129" i="4" s="1"/>
  <c r="AJ86" i="4"/>
  <c r="AJ142" i="4" s="1"/>
  <c r="AN72" i="4"/>
  <c r="AN128" i="4" s="1"/>
  <c r="AN85" i="4"/>
  <c r="AN141" i="4" s="1"/>
  <c r="AC73" i="4"/>
  <c r="AC129" i="4" s="1"/>
  <c r="AC86" i="4"/>
  <c r="AC142" i="4" s="1"/>
  <c r="V73" i="4"/>
  <c r="V129" i="4" s="1"/>
  <c r="V86" i="4"/>
  <c r="V142" i="4" s="1"/>
  <c r="E74" i="4"/>
  <c r="E130" i="4" s="1"/>
  <c r="E87" i="4"/>
  <c r="E143" i="4" s="1"/>
  <c r="AP73" i="4"/>
  <c r="AP129" i="4" s="1"/>
  <c r="AP86" i="4"/>
  <c r="AP142" i="4" s="1"/>
  <c r="H73" i="4"/>
  <c r="H129" i="4" s="1"/>
  <c r="H86" i="4"/>
  <c r="H142" i="4" s="1"/>
  <c r="Q74" i="4"/>
  <c r="Q130" i="4" s="1"/>
  <c r="Q87" i="4"/>
  <c r="Q143" i="4" s="1"/>
  <c r="G74" i="4"/>
  <c r="G130" i="4" s="1"/>
  <c r="G87" i="4"/>
  <c r="G143" i="4" s="1"/>
  <c r="Z72" i="4"/>
  <c r="Z128" i="4" s="1"/>
  <c r="Z85" i="4"/>
  <c r="Z141" i="4" s="1"/>
  <c r="AH73" i="4"/>
  <c r="AH129" i="4" s="1"/>
  <c r="AH86" i="4"/>
  <c r="AH142" i="4" s="1"/>
  <c r="S73" i="4"/>
  <c r="S129" i="4" s="1"/>
  <c r="S86" i="4"/>
  <c r="S142" i="4" s="1"/>
  <c r="E73" i="4"/>
  <c r="E129" i="4" s="1"/>
  <c r="E86" i="4"/>
  <c r="E142" i="4" s="1"/>
  <c r="S72" i="4"/>
  <c r="S128" i="4" s="1"/>
  <c r="S85" i="4"/>
  <c r="S141" i="4" s="1"/>
  <c r="AI72" i="4"/>
  <c r="AI128" i="4" s="1"/>
  <c r="AI85" i="4"/>
  <c r="AI141" i="4" s="1"/>
  <c r="L73" i="4"/>
  <c r="L129" i="4" s="1"/>
  <c r="L86" i="4"/>
  <c r="L142" i="4" s="1"/>
  <c r="AB73" i="4"/>
  <c r="AB129" i="4" s="1"/>
  <c r="AB86" i="4"/>
  <c r="AB142" i="4" s="1"/>
  <c r="AF74" i="4"/>
  <c r="AF130" i="4" s="1"/>
  <c r="AF87" i="4"/>
  <c r="AF143" i="4" s="1"/>
  <c r="H72" i="4"/>
  <c r="H128" i="4" s="1"/>
  <c r="H85" i="4"/>
  <c r="H141" i="4" s="1"/>
  <c r="AA74" i="4"/>
  <c r="AA130" i="4" s="1"/>
  <c r="AA87" i="4"/>
  <c r="AA143" i="4" s="1"/>
  <c r="AD74" i="4"/>
  <c r="AD130" i="4" s="1"/>
  <c r="AD87" i="4"/>
  <c r="AD143" i="4" s="1"/>
  <c r="W74" i="4"/>
  <c r="W130" i="4" s="1"/>
  <c r="W87" i="4"/>
  <c r="W143" i="4" s="1"/>
  <c r="AH74" i="4"/>
  <c r="AH130" i="4" s="1"/>
  <c r="AH87" i="4"/>
  <c r="AH143" i="4" s="1"/>
  <c r="AE74" i="4"/>
  <c r="AE130" i="4" s="1"/>
  <c r="AE87" i="4"/>
  <c r="AE143" i="4" s="1"/>
  <c r="AP74" i="4"/>
  <c r="AP130" i="4" s="1"/>
  <c r="AP87" i="4"/>
  <c r="AP143" i="4" s="1"/>
  <c r="K73" i="4"/>
  <c r="K129" i="4" s="1"/>
  <c r="K86" i="4"/>
  <c r="K142" i="4" s="1"/>
  <c r="T73" i="4"/>
  <c r="T129" i="4" s="1"/>
  <c r="T86" i="4"/>
  <c r="T142" i="4" s="1"/>
  <c r="AM73" i="4"/>
  <c r="AM129" i="4" s="1"/>
  <c r="AM86" i="4"/>
  <c r="AM142" i="4" s="1"/>
  <c r="AJ74" i="4"/>
  <c r="AJ130" i="4" s="1"/>
  <c r="AJ87" i="4"/>
  <c r="AJ143" i="4" s="1"/>
  <c r="AC72" i="4"/>
  <c r="AC128" i="4" s="1"/>
  <c r="AC85" i="4"/>
  <c r="AC141" i="4" s="1"/>
  <c r="H74" i="4"/>
  <c r="H130" i="4" s="1"/>
  <c r="H87" i="4"/>
  <c r="H143" i="4" s="1"/>
  <c r="T74" i="4"/>
  <c r="T130" i="4" s="1"/>
  <c r="T87" i="4"/>
  <c r="T143" i="4" s="1"/>
  <c r="N72" i="4"/>
  <c r="N128" i="4" s="1"/>
  <c r="N85" i="4"/>
  <c r="N141" i="4" s="1"/>
  <c r="AE73" i="4"/>
  <c r="AE129" i="4" s="1"/>
  <c r="AE86" i="4"/>
  <c r="AE142" i="4" s="1"/>
  <c r="X73" i="4"/>
  <c r="X129" i="4" s="1"/>
  <c r="X86" i="4"/>
  <c r="X142" i="4" s="1"/>
  <c r="K74" i="4"/>
  <c r="K130" i="4" s="1"/>
  <c r="K87" i="4"/>
  <c r="K143" i="4" s="1"/>
  <c r="AH72" i="4"/>
  <c r="AH128" i="4" s="1"/>
  <c r="AH85" i="4"/>
  <c r="AH141" i="4" s="1"/>
  <c r="F72" i="4"/>
  <c r="F128" i="4" s="1"/>
  <c r="F85" i="4"/>
  <c r="F141" i="4" s="1"/>
  <c r="U73" i="4"/>
  <c r="U129" i="4" s="1"/>
  <c r="U86" i="4"/>
  <c r="U142" i="4" s="1"/>
  <c r="U72" i="4"/>
  <c r="U128" i="4" s="1"/>
  <c r="U85" i="4"/>
  <c r="U141" i="4" s="1"/>
  <c r="AK72" i="4"/>
  <c r="AK128" i="4" s="1"/>
  <c r="AK85" i="4"/>
  <c r="AK141" i="4" s="1"/>
  <c r="N73" i="4"/>
  <c r="N129" i="4" s="1"/>
  <c r="N86" i="4"/>
  <c r="N142" i="4" s="1"/>
  <c r="AD73" i="4"/>
  <c r="AD129" i="4" s="1"/>
  <c r="AD86" i="4"/>
  <c r="AD142" i="4" s="1"/>
  <c r="V72" i="4"/>
  <c r="V128" i="4" s="1"/>
  <c r="V85" i="4"/>
  <c r="V141" i="4" s="1"/>
  <c r="X72" i="4"/>
  <c r="X128" i="4" s="1"/>
  <c r="X85" i="4"/>
  <c r="X141" i="4" s="1"/>
  <c r="L72" i="4"/>
  <c r="L128" i="4" s="1"/>
  <c r="L85" i="4"/>
  <c r="L141" i="4" s="1"/>
  <c r="R72" i="4"/>
  <c r="R128" i="4" s="1"/>
  <c r="R85" i="4"/>
  <c r="R141" i="4" s="1"/>
  <c r="J74" i="4"/>
  <c r="J130" i="4" s="1"/>
  <c r="J87" i="4"/>
  <c r="J143" i="4" s="1"/>
  <c r="AB74" i="4"/>
  <c r="AB130" i="4" s="1"/>
  <c r="AB87" i="4"/>
  <c r="AB143" i="4" s="1"/>
  <c r="AG73" i="4"/>
  <c r="AG129" i="4" s="1"/>
  <c r="AG86" i="4"/>
  <c r="AG142" i="4" s="1"/>
  <c r="AL74" i="4"/>
  <c r="AL130" i="4" s="1"/>
  <c r="AL87" i="4"/>
  <c r="AL143" i="4" s="1"/>
  <c r="AA72" i="4"/>
  <c r="AA128" i="4" s="1"/>
  <c r="AA85" i="4"/>
  <c r="AA141" i="4" s="1"/>
  <c r="AI73" i="4"/>
  <c r="AI129" i="4" s="1"/>
  <c r="AI86" i="4"/>
  <c r="AI142" i="4" s="1"/>
  <c r="M73" i="4"/>
  <c r="M129" i="4" s="1"/>
  <c r="M86" i="4"/>
  <c r="M142" i="4" s="1"/>
  <c r="F73" i="4"/>
  <c r="F129" i="4" s="1"/>
  <c r="F86" i="4"/>
  <c r="F142" i="4" s="1"/>
  <c r="Z74" i="4"/>
  <c r="Z130" i="4" s="1"/>
  <c r="Z87" i="4"/>
  <c r="Z143" i="4" s="1"/>
  <c r="O72" i="4"/>
  <c r="O128" i="4" s="1"/>
  <c r="O85" i="4"/>
  <c r="O141" i="4" s="1"/>
  <c r="N74" i="4"/>
  <c r="N130" i="4" s="1"/>
  <c r="N87" i="4"/>
  <c r="N143" i="4" s="1"/>
  <c r="F74" i="4"/>
  <c r="F130" i="4" s="1"/>
  <c r="F87" i="4"/>
  <c r="F143" i="4" s="1"/>
  <c r="G73" i="4"/>
  <c r="G129" i="4" s="1"/>
  <c r="G86" i="4"/>
  <c r="G142" i="4" s="1"/>
  <c r="W73" i="4"/>
  <c r="W129" i="4" s="1"/>
  <c r="W86" i="4"/>
  <c r="W142" i="4" s="1"/>
  <c r="G72" i="4"/>
  <c r="G128" i="4" s="1"/>
  <c r="G85" i="4"/>
  <c r="G141" i="4" s="1"/>
  <c r="W72" i="4"/>
  <c r="W128" i="4" s="1"/>
  <c r="W85" i="4"/>
  <c r="W141" i="4" s="1"/>
  <c r="AM72" i="4"/>
  <c r="AM128" i="4" s="1"/>
  <c r="AM85" i="4"/>
  <c r="AM141" i="4" s="1"/>
  <c r="P73" i="4"/>
  <c r="P129" i="4" s="1"/>
  <c r="P86" i="4"/>
  <c r="P142" i="4" s="1"/>
  <c r="AF73" i="4"/>
  <c r="AF129" i="4" s="1"/>
  <c r="AF86" i="4"/>
  <c r="AF142" i="4" s="1"/>
  <c r="AJ72" i="4"/>
  <c r="AJ128" i="4" s="1"/>
  <c r="AJ85" i="4"/>
  <c r="AJ141" i="4" s="1"/>
  <c r="AL72" i="4"/>
  <c r="AL128" i="4" s="1"/>
  <c r="AL85" i="4"/>
  <c r="AL141" i="4" s="1"/>
  <c r="AB72" i="4"/>
  <c r="AB128" i="4" s="1"/>
  <c r="AB85" i="4"/>
  <c r="AB141" i="4" s="1"/>
  <c r="AF72" i="4"/>
  <c r="AF128" i="4" s="1"/>
  <c r="AF85" i="4"/>
  <c r="AF141" i="4" s="1"/>
  <c r="M74" i="4"/>
  <c r="M130" i="4" s="1"/>
  <c r="M87" i="4"/>
  <c r="M143" i="4" s="1"/>
  <c r="AD72" i="4"/>
  <c r="AD128" i="4" s="1"/>
  <c r="AD85" i="4"/>
  <c r="AD141" i="4" s="1"/>
  <c r="AO73" i="4"/>
  <c r="AO129" i="4" s="1"/>
  <c r="AO86" i="4"/>
  <c r="AO142" i="4" s="1"/>
  <c r="AG74" i="4"/>
  <c r="AG130" i="4" s="1"/>
  <c r="AG87" i="4"/>
  <c r="AG143" i="4" s="1"/>
  <c r="E72" i="4"/>
  <c r="E128" i="4" s="1"/>
  <c r="E85" i="4"/>
  <c r="E141" i="4" s="1"/>
  <c r="I73" i="4"/>
  <c r="I129" i="4" s="1"/>
  <c r="I86" i="4"/>
  <c r="I142" i="4" s="1"/>
  <c r="Y73" i="4"/>
  <c r="Y129" i="4" s="1"/>
  <c r="Y86" i="4"/>
  <c r="Y142" i="4" s="1"/>
  <c r="I72" i="4"/>
  <c r="I128" i="4" s="1"/>
  <c r="I85" i="4"/>
  <c r="I141" i="4" s="1"/>
  <c r="Y72" i="4"/>
  <c r="Y128" i="4" s="1"/>
  <c r="Y85" i="4"/>
  <c r="Y141" i="4" s="1"/>
  <c r="AO72" i="4"/>
  <c r="AO128" i="4" s="1"/>
  <c r="AO85" i="4"/>
  <c r="AO141" i="4" s="1"/>
  <c r="R73" i="4"/>
  <c r="R129" i="4" s="1"/>
  <c r="R86" i="4"/>
  <c r="R142" i="4" s="1"/>
  <c r="AK74" i="4"/>
  <c r="AK130" i="4" s="1"/>
  <c r="AK87" i="4"/>
  <c r="AK143" i="4" s="1"/>
  <c r="AI74" i="4"/>
  <c r="AI130" i="4" s="1"/>
  <c r="AI87" i="4"/>
  <c r="AI143" i="4" s="1"/>
  <c r="AP72" i="4"/>
  <c r="AP128" i="4" s="1"/>
  <c r="AP85" i="4"/>
  <c r="AP141" i="4" s="1"/>
  <c r="AM74" i="4"/>
  <c r="AM130" i="4" s="1"/>
  <c r="AM87" i="4"/>
  <c r="AM143" i="4" s="1"/>
  <c r="O74" i="4"/>
  <c r="O130" i="4" s="1"/>
  <c r="O87" i="4"/>
  <c r="O143" i="4" s="1"/>
  <c r="AN73" i="4"/>
  <c r="AN129" i="4" s="1"/>
  <c r="AN86" i="4"/>
  <c r="AN142" i="4" s="1"/>
  <c r="J72" i="4"/>
  <c r="J128" i="4" s="1"/>
  <c r="J85" i="4"/>
  <c r="J141" i="4" s="1"/>
  <c r="D38" i="4"/>
  <c r="D45" i="4" s="1"/>
  <c r="D108" i="4" s="1"/>
  <c r="AA44" i="4"/>
  <c r="AA107" i="4" s="1"/>
  <c r="AA102" i="4"/>
  <c r="T44" i="4"/>
  <c r="T107" i="4" s="1"/>
  <c r="T102" i="4"/>
  <c r="AL43" i="4"/>
  <c r="AL106" i="4" s="1"/>
  <c r="AL101" i="4"/>
  <c r="AC45" i="4"/>
  <c r="AC108" i="4" s="1"/>
  <c r="AC103" i="4"/>
  <c r="AC43" i="4"/>
  <c r="AC106" i="4" s="1"/>
  <c r="AC101" i="4"/>
  <c r="AI45" i="4"/>
  <c r="AI108" i="4" s="1"/>
  <c r="AI103" i="4"/>
  <c r="AH43" i="4"/>
  <c r="AH106" i="4" s="1"/>
  <c r="AH101" i="4"/>
  <c r="O43" i="4"/>
  <c r="O106" i="4" s="1"/>
  <c r="O101" i="4"/>
  <c r="AJ44" i="4"/>
  <c r="AJ107" i="4" s="1"/>
  <c r="AJ102" i="4"/>
  <c r="W45" i="4"/>
  <c r="W108" i="4" s="1"/>
  <c r="W103" i="4"/>
  <c r="AL44" i="4"/>
  <c r="AL107" i="4" s="1"/>
  <c r="AL102" i="4"/>
  <c r="Q44" i="4"/>
  <c r="Q107" i="4" s="1"/>
  <c r="Q102" i="4"/>
  <c r="D44" i="4"/>
  <c r="D107" i="4" s="1"/>
  <c r="D102" i="4"/>
  <c r="Q43" i="4"/>
  <c r="Q106" i="4" s="1"/>
  <c r="Q101" i="4"/>
  <c r="AG43" i="4"/>
  <c r="AG106" i="4" s="1"/>
  <c r="AG101" i="4"/>
  <c r="J44" i="4"/>
  <c r="J107" i="4" s="1"/>
  <c r="J102" i="4"/>
  <c r="Z44" i="4"/>
  <c r="Z107" i="4" s="1"/>
  <c r="Z102" i="4"/>
  <c r="H45" i="4"/>
  <c r="H108" i="4" s="1"/>
  <c r="H103" i="4"/>
  <c r="I45" i="4"/>
  <c r="I108" i="4" s="1"/>
  <c r="I103" i="4"/>
  <c r="F44" i="4"/>
  <c r="F107" i="4" s="1"/>
  <c r="F102" i="4"/>
  <c r="E45" i="4"/>
  <c r="E108" i="4" s="1"/>
  <c r="E103" i="4"/>
  <c r="AM44" i="4"/>
  <c r="AM107" i="4" s="1"/>
  <c r="AM102" i="4"/>
  <c r="J45" i="4"/>
  <c r="J108" i="4" s="1"/>
  <c r="J103" i="4"/>
  <c r="AH45" i="4"/>
  <c r="AH108" i="4" s="1"/>
  <c r="AH103" i="4"/>
  <c r="AE45" i="4"/>
  <c r="AE108" i="4" s="1"/>
  <c r="AE103" i="4"/>
  <c r="K43" i="4"/>
  <c r="K106" i="4" s="1"/>
  <c r="K101" i="4"/>
  <c r="AJ43" i="4"/>
  <c r="AJ106" i="4" s="1"/>
  <c r="AJ101" i="4"/>
  <c r="M43" i="4"/>
  <c r="M106" i="4" s="1"/>
  <c r="M101" i="4"/>
  <c r="P43" i="4"/>
  <c r="P106" i="4" s="1"/>
  <c r="P101" i="4"/>
  <c r="AF43" i="4"/>
  <c r="AF106" i="4" s="1"/>
  <c r="AF101" i="4"/>
  <c r="H44" i="4"/>
  <c r="H107" i="4" s="1"/>
  <c r="H102" i="4"/>
  <c r="AG45" i="4"/>
  <c r="AG108" i="4" s="1"/>
  <c r="AG103" i="4"/>
  <c r="AH44" i="4"/>
  <c r="AH107" i="4" s="1"/>
  <c r="AH102" i="4"/>
  <c r="S44" i="4"/>
  <c r="S107" i="4" s="1"/>
  <c r="S102" i="4"/>
  <c r="E44" i="4"/>
  <c r="E107" i="4" s="1"/>
  <c r="E102" i="4"/>
  <c r="S43" i="4"/>
  <c r="S106" i="4" s="1"/>
  <c r="S101" i="4"/>
  <c r="AI43" i="4"/>
  <c r="AI106" i="4" s="1"/>
  <c r="AI101" i="4"/>
  <c r="L44" i="4"/>
  <c r="L107" i="4" s="1"/>
  <c r="L102" i="4"/>
  <c r="AB44" i="4"/>
  <c r="AB107" i="4" s="1"/>
  <c r="AB102" i="4"/>
  <c r="P45" i="4"/>
  <c r="P108" i="4" s="1"/>
  <c r="P103" i="4"/>
  <c r="Q45" i="4"/>
  <c r="Q108" i="4" s="1"/>
  <c r="Q103" i="4"/>
  <c r="K45" i="4"/>
  <c r="K108" i="4" s="1"/>
  <c r="K103" i="4"/>
  <c r="N43" i="4"/>
  <c r="N106" i="4" s="1"/>
  <c r="N101" i="4"/>
  <c r="AL45" i="4"/>
  <c r="AL108" i="4" s="1"/>
  <c r="AL103" i="4"/>
  <c r="M45" i="4"/>
  <c r="M108" i="4" s="1"/>
  <c r="M103" i="4"/>
  <c r="AB45" i="4"/>
  <c r="AB108" i="4" s="1"/>
  <c r="AB103" i="4"/>
  <c r="AG44" i="4"/>
  <c r="AG107" i="4" s="1"/>
  <c r="AG102" i="4"/>
  <c r="AN45" i="4"/>
  <c r="AN108" i="4" s="1"/>
  <c r="AN103" i="4"/>
  <c r="AA43" i="4"/>
  <c r="AA106" i="4" s="1"/>
  <c r="AA101" i="4"/>
  <c r="R43" i="4"/>
  <c r="R106" i="4" s="1"/>
  <c r="R101" i="4"/>
  <c r="AJ45" i="4"/>
  <c r="AJ108" i="4" s="1"/>
  <c r="AJ103" i="4"/>
  <c r="V44" i="4"/>
  <c r="V107" i="4" s="1"/>
  <c r="V102" i="4"/>
  <c r="G45" i="4"/>
  <c r="G108" i="4" s="1"/>
  <c r="G103" i="4"/>
  <c r="O44" i="4"/>
  <c r="O107" i="4" s="1"/>
  <c r="O102" i="4"/>
  <c r="X44" i="4"/>
  <c r="X107" i="4" s="1"/>
  <c r="X102" i="4"/>
  <c r="AM45" i="4"/>
  <c r="AM108" i="4" s="1"/>
  <c r="AM103" i="4"/>
  <c r="AK43" i="4"/>
  <c r="AK106" i="4" s="1"/>
  <c r="AK101" i="4"/>
  <c r="N44" i="4"/>
  <c r="N107" i="4" s="1"/>
  <c r="N102" i="4"/>
  <c r="AD44" i="4"/>
  <c r="AD107" i="4" s="1"/>
  <c r="AD102" i="4"/>
  <c r="X45" i="4"/>
  <c r="X108" i="4" s="1"/>
  <c r="X103" i="4"/>
  <c r="Y45" i="4"/>
  <c r="Y108" i="4" s="1"/>
  <c r="Y103" i="4"/>
  <c r="S45" i="4"/>
  <c r="S108" i="4" s="1"/>
  <c r="S103" i="4"/>
  <c r="N45" i="4"/>
  <c r="N108" i="4" s="1"/>
  <c r="N103" i="4"/>
  <c r="Z45" i="4"/>
  <c r="Z108" i="4" s="1"/>
  <c r="Z103" i="4"/>
  <c r="O45" i="4"/>
  <c r="O108" i="4" s="1"/>
  <c r="O103" i="4"/>
  <c r="AD43" i="4"/>
  <c r="AD106" i="4" s="1"/>
  <c r="AD101" i="4"/>
  <c r="AO45" i="4"/>
  <c r="AO108" i="4" s="1"/>
  <c r="AO103" i="4"/>
  <c r="L45" i="4"/>
  <c r="L108" i="4" s="1"/>
  <c r="L103" i="4"/>
  <c r="M44" i="4"/>
  <c r="M107" i="4" s="1"/>
  <c r="M102" i="4"/>
  <c r="AP43" i="4"/>
  <c r="AP106" i="4" s="1"/>
  <c r="AP101" i="4"/>
  <c r="AE44" i="4"/>
  <c r="AE107" i="4" s="1"/>
  <c r="AE102" i="4"/>
  <c r="D43" i="4"/>
  <c r="D106" i="4" s="1"/>
  <c r="D101" i="4"/>
  <c r="T43" i="4"/>
  <c r="T106" i="4" s="1"/>
  <c r="T101" i="4"/>
  <c r="F43" i="4"/>
  <c r="F106" i="4" s="1"/>
  <c r="F101" i="4"/>
  <c r="U43" i="4"/>
  <c r="U106" i="4" s="1"/>
  <c r="U101" i="4"/>
  <c r="G44" i="4"/>
  <c r="G107" i="4" s="1"/>
  <c r="G102" i="4"/>
  <c r="W44" i="4"/>
  <c r="W107" i="4" s="1"/>
  <c r="W102" i="4"/>
  <c r="G43" i="4"/>
  <c r="G106" i="4" s="1"/>
  <c r="G101" i="4"/>
  <c r="W43" i="4"/>
  <c r="W106" i="4" s="1"/>
  <c r="W101" i="4"/>
  <c r="AM43" i="4"/>
  <c r="AM106" i="4" s="1"/>
  <c r="AM101" i="4"/>
  <c r="P44" i="4"/>
  <c r="P107" i="4" s="1"/>
  <c r="P102" i="4"/>
  <c r="AF44" i="4"/>
  <c r="AF107" i="4" s="1"/>
  <c r="AF102" i="4"/>
  <c r="AF45" i="4"/>
  <c r="AF108" i="4" s="1"/>
  <c r="AF103" i="4"/>
  <c r="H43" i="4"/>
  <c r="H106" i="4" s="1"/>
  <c r="H101" i="4"/>
  <c r="AA45" i="4"/>
  <c r="AA108" i="4" s="1"/>
  <c r="AA103" i="4"/>
  <c r="V45" i="4"/>
  <c r="V108" i="4" s="1"/>
  <c r="V103" i="4"/>
  <c r="J43" i="4"/>
  <c r="J106" i="4" s="1"/>
  <c r="J101" i="4"/>
  <c r="R45" i="4"/>
  <c r="R108" i="4" s="1"/>
  <c r="R103" i="4"/>
  <c r="AN44" i="4"/>
  <c r="AN107" i="4" s="1"/>
  <c r="AN102" i="4"/>
  <c r="K44" i="4"/>
  <c r="K107" i="4" s="1"/>
  <c r="K102" i="4"/>
  <c r="AB43" i="4"/>
  <c r="AB106" i="4" s="1"/>
  <c r="AB101" i="4"/>
  <c r="Z43" i="4"/>
  <c r="Z106" i="4" s="1"/>
  <c r="Z101" i="4"/>
  <c r="AC44" i="4"/>
  <c r="AC107" i="4" s="1"/>
  <c r="AC102" i="4"/>
  <c r="AK45" i="4"/>
  <c r="AK108" i="4" s="1"/>
  <c r="AK103" i="4"/>
  <c r="U45" i="4"/>
  <c r="U108" i="4" s="1"/>
  <c r="U103" i="4"/>
  <c r="AP44" i="4"/>
  <c r="AP107" i="4" s="1"/>
  <c r="AP102" i="4"/>
  <c r="AE43" i="4"/>
  <c r="AE106" i="4" s="1"/>
  <c r="AE101" i="4"/>
  <c r="AI44" i="4"/>
  <c r="AI107" i="4" s="1"/>
  <c r="AI102" i="4"/>
  <c r="AK44" i="4"/>
  <c r="AK107" i="4" s="1"/>
  <c r="AK102" i="4"/>
  <c r="U44" i="4"/>
  <c r="U107" i="4" s="1"/>
  <c r="U102" i="4"/>
  <c r="F45" i="4"/>
  <c r="F108" i="4" s="1"/>
  <c r="F103" i="4"/>
  <c r="E43" i="4"/>
  <c r="E106" i="4" s="1"/>
  <c r="E101" i="4"/>
  <c r="I44" i="4"/>
  <c r="I107" i="4" s="1"/>
  <c r="I102" i="4"/>
  <c r="Y44" i="4"/>
  <c r="Y107" i="4" s="1"/>
  <c r="Y102" i="4"/>
  <c r="I43" i="4"/>
  <c r="I106" i="4" s="1"/>
  <c r="I101" i="4"/>
  <c r="Y43" i="4"/>
  <c r="Y106" i="4" s="1"/>
  <c r="Y101" i="4"/>
  <c r="AO43" i="4"/>
  <c r="AO106" i="4" s="1"/>
  <c r="AO101" i="4"/>
  <c r="R44" i="4"/>
  <c r="R107" i="4" s="1"/>
  <c r="R102" i="4"/>
  <c r="AO44" i="4"/>
  <c r="AO107" i="4" s="1"/>
  <c r="AO102" i="4"/>
  <c r="V43" i="4"/>
  <c r="V106" i="4" s="1"/>
  <c r="V101" i="4"/>
  <c r="X43" i="4"/>
  <c r="X106" i="4" s="1"/>
  <c r="X101" i="4"/>
  <c r="L43" i="4"/>
  <c r="L106" i="4" s="1"/>
  <c r="L101" i="4"/>
  <c r="AD45" i="4"/>
  <c r="AD108" i="4" s="1"/>
  <c r="AD103" i="4"/>
  <c r="AP45" i="4"/>
  <c r="AP108" i="4" s="1"/>
  <c r="AP103" i="4"/>
  <c r="T45" i="4"/>
  <c r="T108" i="4" s="1"/>
  <c r="T103" i="4"/>
  <c r="AN43" i="4"/>
  <c r="AN106" i="4" s="1"/>
  <c r="AN101" i="4"/>
  <c r="I47" i="5"/>
  <c r="D133" i="4" l="1"/>
  <c r="D146" i="4"/>
  <c r="D150" i="4" s="1"/>
  <c r="D145" i="4"/>
  <c r="D149" i="4" s="1"/>
  <c r="D103" i="4"/>
  <c r="D132" i="4"/>
  <c r="D136" i="4" s="1"/>
  <c r="D77" i="4"/>
  <c r="D76" i="4"/>
  <c r="D80" i="4" s="1"/>
  <c r="D89" i="4"/>
  <c r="D93" i="4" s="1"/>
  <c r="D74" i="4"/>
  <c r="D87" i="4"/>
  <c r="D143" i="4" s="1"/>
  <c r="D147" i="4" s="1"/>
  <c r="D151" i="4" s="1"/>
  <c r="D112" i="4"/>
  <c r="D49" i="4"/>
  <c r="D53" i="4" s="1"/>
  <c r="D47" i="4"/>
  <c r="D62" i="4" s="1"/>
  <c r="D48" i="4"/>
  <c r="D52" i="4" s="1"/>
  <c r="D137" i="4" l="1"/>
  <c r="D67" i="5" a="1"/>
  <c r="D67" i="5" s="1"/>
  <c r="D81" i="4"/>
  <c r="C67" i="5" a="1"/>
  <c r="C67" i="5" s="1"/>
  <c r="D78" i="4"/>
  <c r="D82" i="4" s="1"/>
  <c r="D130" i="4"/>
  <c r="D134" i="4" s="1"/>
  <c r="D138" i="4" s="1"/>
  <c r="D64" i="4"/>
  <c r="D111" i="4" s="1"/>
  <c r="D123" i="4" s="1"/>
  <c r="D60" i="4"/>
  <c r="D51" i="4"/>
  <c r="D59" i="4"/>
  <c r="D63" i="4"/>
  <c r="D110" i="4" s="1"/>
  <c r="D114" i="4" s="1"/>
  <c r="D58" i="4"/>
  <c r="D120" i="4"/>
  <c r="D124" i="4"/>
  <c r="D116" i="4"/>
  <c r="M12" i="5" l="1" a="1"/>
  <c r="M12" i="5" s="1"/>
  <c r="D91" i="4"/>
  <c r="D95" i="4" s="1"/>
  <c r="D119" i="4"/>
  <c r="F12" i="5" a="1"/>
  <c r="F12" i="5" s="1"/>
  <c r="D90" i="4"/>
  <c r="D94" i="4" s="1"/>
  <c r="D115" i="4"/>
  <c r="D122" i="4"/>
  <c r="N12" i="5" s="1" a="1"/>
  <c r="N12" i="5" s="1"/>
  <c r="D118" i="4"/>
  <c r="N46" i="5" l="1"/>
  <c r="N34" i="5"/>
  <c r="N22" i="5"/>
  <c r="N45" i="5"/>
  <c r="N41" i="5"/>
  <c r="N37" i="5"/>
  <c r="N33" i="5"/>
  <c r="N29" i="5"/>
  <c r="N25" i="5"/>
  <c r="N21" i="5"/>
  <c r="N17" i="5"/>
  <c r="N13" i="5"/>
  <c r="N44" i="5"/>
  <c r="N40" i="5"/>
  <c r="N36" i="5"/>
  <c r="N32" i="5"/>
  <c r="N28" i="5"/>
  <c r="N24" i="5"/>
  <c r="N20" i="5"/>
  <c r="N16" i="5"/>
  <c r="N43" i="5"/>
  <c r="N39" i="5"/>
  <c r="N35" i="5"/>
  <c r="N31" i="5"/>
  <c r="N27" i="5"/>
  <c r="N23" i="5"/>
  <c r="N19" i="5"/>
  <c r="N15" i="5"/>
  <c r="N42" i="5"/>
  <c r="N38" i="5"/>
  <c r="N30" i="5"/>
  <c r="N26" i="5"/>
  <c r="N18" i="5"/>
  <c r="N14" i="5"/>
  <c r="M46" i="5"/>
  <c r="M42" i="5"/>
  <c r="M38" i="5"/>
  <c r="M34" i="5"/>
  <c r="M30" i="5"/>
  <c r="M26" i="5"/>
  <c r="M22" i="5"/>
  <c r="M18" i="5"/>
  <c r="M14" i="5"/>
  <c r="M40" i="5"/>
  <c r="M45" i="5"/>
  <c r="M41" i="5"/>
  <c r="M37" i="5"/>
  <c r="M33" i="5"/>
  <c r="M29" i="5"/>
  <c r="M25" i="5"/>
  <c r="M21" i="5"/>
  <c r="M17" i="5"/>
  <c r="M13" i="5"/>
  <c r="M36" i="5"/>
  <c r="M32" i="5"/>
  <c r="M28" i="5"/>
  <c r="M24" i="5"/>
  <c r="M20" i="5"/>
  <c r="M16" i="5"/>
  <c r="M44" i="5"/>
  <c r="M39" i="5"/>
  <c r="M35" i="5"/>
  <c r="M31" i="5"/>
  <c r="M27" i="5"/>
  <c r="M23" i="5"/>
  <c r="M19" i="5"/>
  <c r="M15" i="5"/>
  <c r="M43" i="5"/>
  <c r="F20" i="5"/>
  <c r="F44" i="5"/>
  <c r="F17" i="5"/>
  <c r="F21" i="5"/>
  <c r="F25" i="5"/>
  <c r="F29" i="5"/>
  <c r="F33" i="5"/>
  <c r="F37" i="5"/>
  <c r="F41" i="5"/>
  <c r="F45" i="5"/>
  <c r="F14" i="5"/>
  <c r="F18" i="5"/>
  <c r="F22" i="5"/>
  <c r="F26" i="5"/>
  <c r="F30" i="5"/>
  <c r="F34" i="5"/>
  <c r="F38" i="5"/>
  <c r="F42" i="5"/>
  <c r="F46" i="5"/>
  <c r="F15" i="5"/>
  <c r="F19" i="5"/>
  <c r="F23" i="5"/>
  <c r="F27" i="5"/>
  <c r="F31" i="5"/>
  <c r="F35" i="5"/>
  <c r="F39" i="5"/>
  <c r="F43" i="5"/>
  <c r="F13" i="5"/>
  <c r="F16" i="5"/>
  <c r="F24" i="5"/>
  <c r="F28" i="5"/>
  <c r="F32" i="5"/>
  <c r="F36" i="5"/>
  <c r="F40" i="5"/>
  <c r="M47" i="5"/>
  <c r="G12" i="5" a="1"/>
  <c r="G12" i="5" s="1"/>
  <c r="O32" i="5" l="1"/>
  <c r="Q32" i="5" s="1"/>
  <c r="O39" i="5"/>
  <c r="Q39" i="5" s="1"/>
  <c r="O36" i="5"/>
  <c r="Q36" i="5" s="1"/>
  <c r="O18" i="5"/>
  <c r="Q18" i="5" s="1"/>
  <c r="G16" i="5"/>
  <c r="P16" i="5" s="1"/>
  <c r="R16" i="5" s="1"/>
  <c r="G20" i="5"/>
  <c r="P20" i="5" s="1"/>
  <c r="R20" i="5" s="1"/>
  <c r="G24" i="5"/>
  <c r="P24" i="5" s="1"/>
  <c r="R24" i="5" s="1"/>
  <c r="G28" i="5"/>
  <c r="P28" i="5" s="1"/>
  <c r="R28" i="5" s="1"/>
  <c r="G32" i="5"/>
  <c r="P32" i="5" s="1"/>
  <c r="R32" i="5" s="1"/>
  <c r="G36" i="5"/>
  <c r="P36" i="5" s="1"/>
  <c r="R36" i="5" s="1"/>
  <c r="G40" i="5"/>
  <c r="P40" i="5" s="1"/>
  <c r="R40" i="5" s="1"/>
  <c r="G44" i="5"/>
  <c r="P44" i="5" s="1"/>
  <c r="R44" i="5" s="1"/>
  <c r="G17" i="5"/>
  <c r="P17" i="5" s="1"/>
  <c r="R17" i="5" s="1"/>
  <c r="G21" i="5"/>
  <c r="P21" i="5" s="1"/>
  <c r="R21" i="5" s="1"/>
  <c r="G25" i="5"/>
  <c r="P25" i="5" s="1"/>
  <c r="R25" i="5" s="1"/>
  <c r="G29" i="5"/>
  <c r="P29" i="5" s="1"/>
  <c r="R29" i="5" s="1"/>
  <c r="G33" i="5"/>
  <c r="P33" i="5" s="1"/>
  <c r="R33" i="5" s="1"/>
  <c r="G37" i="5"/>
  <c r="P37" i="5" s="1"/>
  <c r="R37" i="5" s="1"/>
  <c r="G41" i="5"/>
  <c r="P41" i="5" s="1"/>
  <c r="R41" i="5" s="1"/>
  <c r="G45" i="5"/>
  <c r="P45" i="5" s="1"/>
  <c r="R45" i="5" s="1"/>
  <c r="G14" i="5"/>
  <c r="P14" i="5" s="1"/>
  <c r="R14" i="5" s="1"/>
  <c r="G18" i="5"/>
  <c r="P18" i="5" s="1"/>
  <c r="R18" i="5" s="1"/>
  <c r="G22" i="5"/>
  <c r="P22" i="5" s="1"/>
  <c r="R22" i="5" s="1"/>
  <c r="G26" i="5"/>
  <c r="P26" i="5" s="1"/>
  <c r="R26" i="5" s="1"/>
  <c r="G30" i="5"/>
  <c r="P30" i="5" s="1"/>
  <c r="R30" i="5" s="1"/>
  <c r="G34" i="5"/>
  <c r="P34" i="5" s="1"/>
  <c r="R34" i="5" s="1"/>
  <c r="G38" i="5"/>
  <c r="G42" i="5"/>
  <c r="P42" i="5" s="1"/>
  <c r="R42" i="5" s="1"/>
  <c r="G46" i="5"/>
  <c r="P46" i="5" s="1"/>
  <c r="R46" i="5" s="1"/>
  <c r="G13" i="5"/>
  <c r="G15" i="5"/>
  <c r="P15" i="5" s="1"/>
  <c r="R15" i="5" s="1"/>
  <c r="G19" i="5"/>
  <c r="P19" i="5" s="1"/>
  <c r="R19" i="5" s="1"/>
  <c r="G23" i="5"/>
  <c r="P23" i="5" s="1"/>
  <c r="R23" i="5" s="1"/>
  <c r="G27" i="5"/>
  <c r="P27" i="5" s="1"/>
  <c r="R27" i="5" s="1"/>
  <c r="G31" i="5"/>
  <c r="P31" i="5" s="1"/>
  <c r="R31" i="5" s="1"/>
  <c r="G35" i="5"/>
  <c r="P35" i="5" s="1"/>
  <c r="R35" i="5" s="1"/>
  <c r="G39" i="5"/>
  <c r="P39" i="5" s="1"/>
  <c r="R39" i="5" s="1"/>
  <c r="G43" i="5"/>
  <c r="P43" i="5" s="1"/>
  <c r="R43" i="5" s="1"/>
  <c r="O25" i="5"/>
  <c r="Q25" i="5" s="1"/>
  <c r="O28" i="5"/>
  <c r="Q28" i="5" s="1"/>
  <c r="O38" i="5"/>
  <c r="Q38" i="5" s="1"/>
  <c r="O13" i="5"/>
  <c r="Q13" i="5" s="1"/>
  <c r="O14" i="5"/>
  <c r="Q14" i="5" s="1"/>
  <c r="O26" i="5"/>
  <c r="Q26" i="5" s="1"/>
  <c r="O24" i="5"/>
  <c r="Q24" i="5" s="1"/>
  <c r="O23" i="5"/>
  <c r="Q23" i="5" s="1"/>
  <c r="O27" i="5"/>
  <c r="Q27" i="5" s="1"/>
  <c r="O20" i="5"/>
  <c r="Q20" i="5" s="1"/>
  <c r="O42" i="5"/>
  <c r="Q42" i="5" s="1"/>
  <c r="O19" i="5"/>
  <c r="Q19" i="5" s="1"/>
  <c r="O29" i="5"/>
  <c r="Q29" i="5" s="1"/>
  <c r="O41" i="5"/>
  <c r="Q41" i="5" s="1"/>
  <c r="O40" i="5"/>
  <c r="Q40" i="5" s="1"/>
  <c r="O43" i="5"/>
  <c r="Q43" i="5" s="1"/>
  <c r="O30" i="5"/>
  <c r="Q30" i="5" s="1"/>
  <c r="O31" i="5"/>
  <c r="Q31" i="5" s="1"/>
  <c r="O46" i="5"/>
  <c r="Q46" i="5" s="1"/>
  <c r="O16" i="5"/>
  <c r="Q16" i="5" s="1"/>
  <c r="O45" i="5"/>
  <c r="Q45" i="5" s="1"/>
  <c r="O21" i="5"/>
  <c r="Q21" i="5" s="1"/>
  <c r="O34" i="5"/>
  <c r="Q34" i="5" s="1"/>
  <c r="O37" i="5"/>
  <c r="Q37" i="5" s="1"/>
  <c r="O44" i="5"/>
  <c r="Q44" i="5" s="1"/>
  <c r="O33" i="5"/>
  <c r="Q33" i="5" s="1"/>
  <c r="O35" i="5"/>
  <c r="Q35" i="5" s="1"/>
  <c r="O15" i="5"/>
  <c r="Q15" i="5" s="1"/>
  <c r="P38" i="5"/>
  <c r="R38" i="5" s="1"/>
  <c r="O22" i="5"/>
  <c r="Q22" i="5" s="1"/>
  <c r="O17" i="5"/>
  <c r="Q17" i="5" s="1"/>
  <c r="N47" i="5"/>
  <c r="F47" i="5"/>
  <c r="K20" i="6" l="1"/>
  <c r="L20" i="6"/>
  <c r="M20" i="6"/>
  <c r="N20" i="6"/>
  <c r="K6" i="6"/>
  <c r="M6" i="6"/>
  <c r="N6" i="6"/>
  <c r="L6" i="6"/>
  <c r="K13" i="6"/>
  <c r="M13" i="6"/>
  <c r="L13" i="6"/>
  <c r="N13" i="6"/>
  <c r="N16" i="6"/>
  <c r="K16" i="6"/>
  <c r="L16" i="6"/>
  <c r="M16" i="6"/>
  <c r="K15" i="6"/>
  <c r="M15" i="6"/>
  <c r="N15" i="6"/>
  <c r="L15" i="6"/>
  <c r="M34" i="6"/>
  <c r="K34" i="6"/>
  <c r="L34" i="6"/>
  <c r="N34" i="6"/>
  <c r="K9" i="6"/>
  <c r="M9" i="6"/>
  <c r="L9" i="6"/>
  <c r="N9" i="6"/>
  <c r="K12" i="6"/>
  <c r="L12" i="6"/>
  <c r="N12" i="6"/>
  <c r="M12" i="6"/>
  <c r="K11" i="6"/>
  <c r="M11" i="6"/>
  <c r="L11" i="6"/>
  <c r="N11" i="6"/>
  <c r="K10" i="6"/>
  <c r="M10" i="6"/>
  <c r="N10" i="6"/>
  <c r="L10" i="6"/>
  <c r="K21" i="6"/>
  <c r="M21" i="6"/>
  <c r="N21" i="6"/>
  <c r="L21" i="6"/>
  <c r="M30" i="6"/>
  <c r="K30" i="6"/>
  <c r="N30" i="6"/>
  <c r="L30" i="6"/>
  <c r="K37" i="6"/>
  <c r="M37" i="6"/>
  <c r="L37" i="6"/>
  <c r="N37" i="6"/>
  <c r="K5" i="6"/>
  <c r="M5" i="6"/>
  <c r="L5" i="6"/>
  <c r="N5" i="6"/>
  <c r="L8" i="6"/>
  <c r="M8" i="6"/>
  <c r="N8" i="6"/>
  <c r="K8" i="6"/>
  <c r="K7" i="6"/>
  <c r="M7" i="6"/>
  <c r="N7" i="6"/>
  <c r="L7" i="6"/>
  <c r="K26" i="6"/>
  <c r="M26" i="6"/>
  <c r="N26" i="6"/>
  <c r="L26" i="6"/>
  <c r="K33" i="6"/>
  <c r="M33" i="6"/>
  <c r="N33" i="6"/>
  <c r="L33" i="6"/>
  <c r="K36" i="6"/>
  <c r="M36" i="6"/>
  <c r="N36" i="6"/>
  <c r="L36" i="6"/>
  <c r="K29" i="6"/>
  <c r="M29" i="6"/>
  <c r="L29" i="6"/>
  <c r="N29" i="6"/>
  <c r="K23" i="6"/>
  <c r="M23" i="6"/>
  <c r="L23" i="6"/>
  <c r="N23" i="6"/>
  <c r="N22" i="6"/>
  <c r="K22" i="6"/>
  <c r="M22" i="6"/>
  <c r="L22" i="6"/>
  <c r="K32" i="6"/>
  <c r="L32" i="6"/>
  <c r="M32" i="6"/>
  <c r="N32" i="6"/>
  <c r="M31" i="6"/>
  <c r="K31" i="6"/>
  <c r="N31" i="6"/>
  <c r="L31" i="6"/>
  <c r="K19" i="6"/>
  <c r="M19" i="6"/>
  <c r="N19" i="6"/>
  <c r="L19" i="6"/>
  <c r="K24" i="6"/>
  <c r="M24" i="6"/>
  <c r="L24" i="6"/>
  <c r="N24" i="6"/>
  <c r="K18" i="6"/>
  <c r="M18" i="6"/>
  <c r="N18" i="6"/>
  <c r="L18" i="6"/>
  <c r="M25" i="6"/>
  <c r="K25" i="6"/>
  <c r="N25" i="6"/>
  <c r="L25" i="6"/>
  <c r="M28" i="6"/>
  <c r="K28" i="6"/>
  <c r="L28" i="6"/>
  <c r="N28" i="6"/>
  <c r="K27" i="6"/>
  <c r="M27" i="6"/>
  <c r="N27" i="6"/>
  <c r="L27" i="6"/>
  <c r="K17" i="6"/>
  <c r="M17" i="6"/>
  <c r="N17" i="6"/>
  <c r="L17" i="6"/>
  <c r="K14" i="6"/>
  <c r="M14" i="6"/>
  <c r="N14" i="6"/>
  <c r="L14" i="6"/>
  <c r="K35" i="6"/>
  <c r="M35" i="6"/>
  <c r="L35" i="6"/>
  <c r="N35" i="6"/>
  <c r="G47" i="5"/>
  <c r="Q47" i="5"/>
  <c r="P13" i="5"/>
  <c r="R13" i="5" s="1"/>
  <c r="O47" i="5"/>
  <c r="M4" i="6" l="1"/>
  <c r="K4" i="6"/>
  <c r="L4" i="6"/>
  <c r="N4" i="6"/>
  <c r="P47" i="5"/>
  <c r="R47" i="5"/>
  <c r="M38" i="6" l="1"/>
  <c r="K38" i="6"/>
  <c r="L38" i="6"/>
  <c r="N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Scurfield</author>
  </authors>
  <commentList>
    <comment ref="B3" authorId="0" shapeId="0" xr:uid="{1F18039E-F50A-462A-B1FF-B50D38E0FD7E}">
      <text>
        <r>
          <rPr>
            <b/>
            <sz val="9"/>
            <color indexed="81"/>
            <rFont val="Tahoma"/>
            <family val="2"/>
          </rPr>
          <t>Thomas Scurfield:</t>
        </r>
        <r>
          <rPr>
            <sz val="9"/>
            <color indexed="81"/>
            <rFont val="Tahoma"/>
            <family val="2"/>
          </rPr>
          <t xml:space="preserve">
We developed this production profile based on the following assumptions about the Lake Albert project:
- Recoverable reserves of 1.4 billion barrels;
- Peak production of 230,000 barrels per day, with a production plateau of 5 years;
- Production duration of 27 years.</t>
        </r>
      </text>
    </comment>
    <comment ref="D10" authorId="0" shapeId="0" xr:uid="{1F46AAAD-F19A-452F-8917-A32877940561}">
      <text>
        <r>
          <rPr>
            <b/>
            <sz val="9"/>
            <color indexed="81"/>
            <rFont val="Tahoma"/>
            <charset val="1"/>
          </rPr>
          <t>Thomas Scurfield:</t>
        </r>
        <r>
          <rPr>
            <sz val="9"/>
            <color indexed="81"/>
            <rFont val="Tahoma"/>
            <charset val="1"/>
          </rPr>
          <t xml:space="preserve">
This is the IEA’s Net Zero scenario, which assumes that the world manages to achieve net zero emissions by 2050. It has been updated by Rystad Energy to reflect developments since it was generated and converted to implied prices.
See: www.iea.org/reports/net-zero-by-2050</t>
        </r>
      </text>
    </comment>
    <comment ref="D11" authorId="0" shapeId="0" xr:uid="{6861E442-0EED-48FC-8CEB-4E1FE01CCF29}">
      <text>
        <r>
          <rPr>
            <b/>
            <sz val="9"/>
            <color indexed="81"/>
            <rFont val="Tahoma"/>
            <charset val="1"/>
          </rPr>
          <t>Thomas Scurfield:</t>
        </r>
        <r>
          <rPr>
            <sz val="9"/>
            <color indexed="81"/>
            <rFont val="Tahoma"/>
            <charset val="1"/>
          </rPr>
          <t xml:space="preserve">
This is the IEA’s Announced Pledges scenario, which assumes that countries implement the climate commitments that they have made to date. It has been updated by Rystad Energy to reflect developments since it was generated and converted to implied prices.
See: www.iea.org/reports/world-energy-outlook-2021</t>
        </r>
      </text>
    </comment>
    <comment ref="D12" authorId="0" shapeId="0" xr:uid="{BEB795D7-BE3C-4497-A5DD-5F8540CEA939}">
      <text>
        <r>
          <rPr>
            <b/>
            <sz val="9"/>
            <color indexed="81"/>
            <rFont val="Tahoma"/>
            <charset val="1"/>
          </rPr>
          <t>Thomas Scurfield:</t>
        </r>
        <r>
          <rPr>
            <sz val="9"/>
            <color indexed="81"/>
            <rFont val="Tahoma"/>
            <charset val="1"/>
          </rPr>
          <t xml:space="preserve">
This is OPEC's reference scenario. It has been updated by Rystad Energy to reflect developments since it was generated and converted to implied prices.
See: https://woo.opec.org/index.php</t>
        </r>
      </text>
    </comment>
    <comment ref="C18" authorId="0" shapeId="0" xr:uid="{694765F0-5546-4F81-8AEB-8BEE93FB8E17}">
      <text>
        <r>
          <rPr>
            <b/>
            <sz val="9"/>
            <color indexed="81"/>
            <rFont val="Tahoma"/>
            <charset val="1"/>
          </rPr>
          <t>Thomas Scurfield:</t>
        </r>
        <r>
          <rPr>
            <sz val="9"/>
            <color indexed="81"/>
            <rFont val="Tahoma"/>
            <charset val="1"/>
          </rPr>
          <t xml:space="preserve">
Based on discussions with government officials.</t>
        </r>
      </text>
    </comment>
    <comment ref="C19" authorId="0" shapeId="0" xr:uid="{C7B1BF6F-7317-4864-8F02-F7470D084662}">
      <text>
        <r>
          <rPr>
            <b/>
            <sz val="9"/>
            <color indexed="81"/>
            <rFont val="Tahoma"/>
            <charset val="1"/>
          </rPr>
          <t>Thomas Scurfield:</t>
        </r>
        <r>
          <rPr>
            <sz val="9"/>
            <color indexed="81"/>
            <rFont val="Tahoma"/>
            <charset val="1"/>
          </rPr>
          <t xml:space="preserve">
As stated in the EACOP (Special Provisions) Act 2021.</t>
        </r>
      </text>
    </comment>
    <comment ref="C20" authorId="0" shapeId="0" xr:uid="{2DD36BCF-9532-49E0-B7FC-9F9EDEBDFF3A}">
      <text>
        <r>
          <rPr>
            <b/>
            <sz val="9"/>
            <color indexed="81"/>
            <rFont val="Tahoma"/>
            <charset val="1"/>
          </rPr>
          <t>Thomas Scurfield:</t>
        </r>
        <r>
          <rPr>
            <sz val="9"/>
            <color indexed="81"/>
            <rFont val="Tahoma"/>
            <charset val="1"/>
          </rPr>
          <t xml:space="preserve">
Assumed to be the average shipment cost from the pipeline exit at Tanga to overseas markets.</t>
        </r>
      </text>
    </comment>
    <comment ref="C34" authorId="0" shapeId="0" xr:uid="{C03D0890-5A96-4A26-B24A-7F4CF80752C0}">
      <text>
        <r>
          <rPr>
            <b/>
            <sz val="9"/>
            <color indexed="81"/>
            <rFont val="Tahoma"/>
            <charset val="1"/>
          </rPr>
          <t xml:space="preserve">Thomas Scurfield:
</t>
        </r>
        <r>
          <rPr>
            <sz val="9"/>
            <color indexed="81"/>
            <rFont val="Tahoma"/>
            <family val="2"/>
          </rPr>
          <t>Th</t>
        </r>
        <r>
          <rPr>
            <sz val="9"/>
            <color indexed="81"/>
            <rFont val="Tahoma"/>
            <charset val="1"/>
          </rPr>
          <t>e original PSAs contain a sliding scale royalty. But for production exceeding 7,500 barrels per day, the royalty rate is 12.5%. We therefore assume a fixed rate of 12.5% for simplication purposes.</t>
        </r>
      </text>
    </comment>
    <comment ref="C67" authorId="0" shapeId="0" xr:uid="{CE58354A-62B9-4E8D-A584-4F727E1B47FD}">
      <text>
        <r>
          <rPr>
            <b/>
            <sz val="9"/>
            <color indexed="81"/>
            <rFont val="Tahoma"/>
            <family val="2"/>
          </rPr>
          <t>Thomas Scurfield:</t>
        </r>
        <r>
          <rPr>
            <sz val="9"/>
            <color indexed="81"/>
            <rFont val="Tahoma"/>
            <family val="2"/>
          </rPr>
          <t xml:space="preserve">
According to the PFM Act, one percentage point of the royalty due to the central government will be shared with “gazetted cultural or traditional institutions.” But the amount that this entails requires clarification.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Scurfield</author>
  </authors>
  <commentList>
    <comment ref="B8" authorId="0" shapeId="0" xr:uid="{29862EDC-370B-4E9F-8D4C-A3FD3870F5CF}">
      <text>
        <r>
          <rPr>
            <b/>
            <sz val="9"/>
            <color indexed="81"/>
            <rFont val="Tahoma"/>
            <family val="2"/>
          </rPr>
          <t>Thomas Scurfield:</t>
        </r>
        <r>
          <rPr>
            <sz val="9"/>
            <color indexed="81"/>
            <rFont val="Tahoma"/>
            <family val="2"/>
          </rPr>
          <t xml:space="preserve">
The list of districts currently in the model is taken from the list in an early version of the PFM bill. However, this list was ultimately retracted so which districts will receive a share needs clarification. </t>
        </r>
      </text>
    </comment>
    <comment ref="C10" authorId="0" shapeId="0" xr:uid="{6C2879E8-B3E2-480A-9922-5B3229AB7D2C}">
      <text>
        <r>
          <rPr>
            <b/>
            <sz val="9"/>
            <color indexed="81"/>
            <rFont val="Tahoma"/>
            <family val="2"/>
          </rPr>
          <t>Thomas Scurfield:</t>
        </r>
        <r>
          <rPr>
            <sz val="9"/>
            <color indexed="81"/>
            <rFont val="Tahoma"/>
            <family val="2"/>
          </rPr>
          <t xml:space="preserve">
Based on the districts within which the Tilenga and Kingfisher blocks have operations, but this requires clarification.</t>
        </r>
      </text>
    </comment>
    <comment ref="D10" authorId="0" shapeId="0" xr:uid="{E561C0B2-31EB-44C7-B0AA-03CC4D82FA8B}">
      <text>
        <r>
          <rPr>
            <b/>
            <sz val="9"/>
            <color indexed="81"/>
            <rFont val="Tahoma"/>
            <family val="2"/>
          </rPr>
          <t>Thomas Scurfield:</t>
        </r>
        <r>
          <rPr>
            <sz val="9"/>
            <color indexed="81"/>
            <rFont val="Tahoma"/>
            <family val="2"/>
          </rPr>
          <t xml:space="preserve">
Based on Tilenga having a peak production rate of 190,000 barrels per day (bpd) and Kingfisher having a peak production rate of 40,000 bpd. We assume each of the oil producing districts have an equal share of this production given the lack of more detailed information to base their shares on.
For Tlilenga and Kingfisher's production rates see: www.unoc.co.ug/upstream/the-tilenga-project/ and www.unoc.co.ug/upstream/the-kingfisher-project/</t>
        </r>
      </text>
    </comment>
    <comment ref="E10" authorId="0" shapeId="0" xr:uid="{3F8C6CF3-FEC8-4207-A73F-94E503886F24}">
      <text>
        <r>
          <rPr>
            <b/>
            <sz val="9"/>
            <color indexed="81"/>
            <rFont val="Tahoma"/>
            <family val="2"/>
          </rPr>
          <t>Thomas Scurfield:</t>
        </r>
        <r>
          <rPr>
            <sz val="9"/>
            <color indexed="81"/>
            <rFont val="Tahoma"/>
            <family val="2"/>
          </rPr>
          <t xml:space="preserve">
It is unclear whether "impact" of production will ultimately be included in the formula, and if it is, how it will be defined and weighted.</t>
        </r>
      </text>
    </comment>
    <comment ref="H10" authorId="0" shapeId="0" xr:uid="{E981CEDC-C539-45A5-8B63-15AF6858CE7B}">
      <text>
        <r>
          <rPr>
            <b/>
            <sz val="9"/>
            <color indexed="81"/>
            <rFont val="Tahoma"/>
            <family val="2"/>
          </rPr>
          <t>Thomas Scurfield:</t>
        </r>
        <r>
          <rPr>
            <sz val="9"/>
            <color indexed="81"/>
            <rFont val="Tahoma"/>
            <family val="2"/>
          </rPr>
          <t xml:space="preserve">
Data on district population sizes is from: www.finance.go.ug/publication/background-budget-202223-fiscal-year</t>
        </r>
      </text>
    </comment>
    <comment ref="J10" authorId="0" shapeId="0" xr:uid="{72343F90-FBE5-4D62-B2FA-8AF937CCF769}">
      <text>
        <r>
          <rPr>
            <b/>
            <sz val="9"/>
            <color indexed="81"/>
            <rFont val="Tahoma"/>
            <family val="2"/>
          </rPr>
          <t>Thomas Scurfield:</t>
        </r>
        <r>
          <rPr>
            <sz val="9"/>
            <color indexed="81"/>
            <rFont val="Tahoma"/>
            <family val="2"/>
          </rPr>
          <t xml:space="preserve">
It is unclear whether "geographical area" will ultimately be included in the formula, and if it is, how it will  weighted. We assume it is included and has a weight of 50% for illustrative purposes.
Data on district area sizes is from: www.citypopulation.de/en/uganda/cities/</t>
        </r>
      </text>
    </comment>
    <comment ref="L10" authorId="0" shapeId="0" xr:uid="{0593F3E0-3CE7-43C3-A3A4-C8C5B1A72DF6}">
      <text>
        <r>
          <rPr>
            <b/>
            <sz val="9"/>
            <color indexed="81"/>
            <rFont val="Tahoma"/>
            <family val="2"/>
          </rPr>
          <t>Thomas Scurfield:</t>
        </r>
        <r>
          <rPr>
            <sz val="9"/>
            <color indexed="81"/>
            <rFont val="Tahoma"/>
            <family val="2"/>
          </rPr>
          <t xml:space="preserve">
It is unclear whether "terrain" will ultimately be included in the formula, and if it is, how it will be defined and weighted.</t>
        </r>
      </text>
    </comment>
    <comment ref="I11" authorId="0" shapeId="0" xr:uid="{15F41CBD-569A-40F0-9B96-8DC35644A75B}">
      <text>
        <r>
          <rPr>
            <b/>
            <sz val="9"/>
            <color indexed="81"/>
            <rFont val="Tahoma"/>
            <family val="2"/>
          </rPr>
          <t>Thomas Scurfield:</t>
        </r>
        <r>
          <rPr>
            <sz val="9"/>
            <color indexed="81"/>
            <rFont val="Tahoma"/>
            <family val="2"/>
          </rPr>
          <t xml:space="preserve">
The weight that population share will have in the formula is currently unclear. We assume 50% for illustrative purposes.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Thomas Scurfield</author>
  </authors>
  <commentList>
    <comment ref="C1" authorId="0" shapeId="0" xr:uid="{A70A7813-FEB1-4845-8F0B-8A6D71AB176A}">
      <text>
        <r>
          <rPr>
            <b/>
            <sz val="9"/>
            <color indexed="81"/>
            <rFont val="Tahoma"/>
            <family val="2"/>
          </rPr>
          <t>Thomas Scurfield:</t>
        </r>
        <r>
          <rPr>
            <sz val="9"/>
            <color indexed="81"/>
            <rFont val="Tahoma"/>
            <family val="2"/>
          </rPr>
          <t xml:space="preserve">
Data on local government finances is from https://budget.finance.go.ug/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<sst xmlns="http://schemas.openxmlformats.org/spreadsheetml/2006/main" count="213" uniqueCount="138">
  <si>
    <t>Amuru</t>
  </si>
  <si>
    <t>Bundibugyo</t>
  </si>
  <si>
    <t>Buhweju</t>
  </si>
  <si>
    <t>Ibanda</t>
  </si>
  <si>
    <t>Buliisa</t>
  </si>
  <si>
    <t>Mitooma</t>
  </si>
  <si>
    <t>Moyo</t>
  </si>
  <si>
    <t>Hoima</t>
  </si>
  <si>
    <t>Bushenyi</t>
  </si>
  <si>
    <t>Adjumani</t>
  </si>
  <si>
    <t>Kabarole</t>
  </si>
  <si>
    <t>Rukungiri</t>
  </si>
  <si>
    <t>Kamwenge</t>
  </si>
  <si>
    <t>Kibaale</t>
  </si>
  <si>
    <t>Arua</t>
  </si>
  <si>
    <t>Nwoya</t>
  </si>
  <si>
    <t>Kasese</t>
  </si>
  <si>
    <t>Rubirizi</t>
  </si>
  <si>
    <t>Masindi</t>
  </si>
  <si>
    <t>Kanungu</t>
  </si>
  <si>
    <t>Nebbi</t>
  </si>
  <si>
    <t>Kiryadongo</t>
  </si>
  <si>
    <t>Ntoroko</t>
  </si>
  <si>
    <t>Yumbe</t>
  </si>
  <si>
    <t>Production</t>
  </si>
  <si>
    <t>Total</t>
  </si>
  <si>
    <t>Possible production profile, thousand bbl per day</t>
  </si>
  <si>
    <t>Production, million bbl a year</t>
  </si>
  <si>
    <t>Production sensitivty</t>
  </si>
  <si>
    <t>Actual production, million bbl a year</t>
  </si>
  <si>
    <t>Production years</t>
  </si>
  <si>
    <t>Prices</t>
  </si>
  <si>
    <t>Scenario</t>
  </si>
  <si>
    <t>Brent price, $/bbl</t>
  </si>
  <si>
    <t>Quality discount, $ per bbl</t>
  </si>
  <si>
    <t>Pipeline tariff, $ per bbl</t>
  </si>
  <si>
    <t>Shipment cost, $ per bbl</t>
  </si>
  <si>
    <t>Total deduction, $ per bbl</t>
  </si>
  <si>
    <t>Sales price, $ per bbl</t>
  </si>
  <si>
    <t>Royalty</t>
  </si>
  <si>
    <t>USD</t>
  </si>
  <si>
    <t>Production value, $ millions</t>
  </si>
  <si>
    <t>Gross royalty</t>
  </si>
  <si>
    <t>Gross royalty, $ millions</t>
  </si>
  <si>
    <t>Local government share</t>
  </si>
  <si>
    <t>Local govt share</t>
  </si>
  <si>
    <t>Local govt royalty, $ millions</t>
  </si>
  <si>
    <t>Total local govt royalty, $ millions</t>
  </si>
  <si>
    <t>Annual avg local govt royalty, $ millions</t>
  </si>
  <si>
    <t>Local govt royalty to oil producing districts</t>
  </si>
  <si>
    <t>Local govt royalty to all listed districts</t>
  </si>
  <si>
    <t>Total local govt royalty to oil producing districts, $ millions</t>
  </si>
  <si>
    <t>Total local govt royalty to all listed districts, $ millions</t>
  </si>
  <si>
    <t>Cultural and traditional institution share</t>
  </si>
  <si>
    <t>Cultural institution share of gross royalty</t>
  </si>
  <si>
    <t xml:space="preserve">     Effective share of gross royalty</t>
  </si>
  <si>
    <t>Cultural institution royalty, $ millions</t>
  </si>
  <si>
    <t>Total cultural institution royalty, $ millions</t>
  </si>
  <si>
    <t>Annual avg cultural institution royalty, $ millions</t>
  </si>
  <si>
    <t>Cultural institution share of central government royalty</t>
  </si>
  <si>
    <t>UGX</t>
  </si>
  <si>
    <t>Exchange rate of 1 USD:UGX</t>
  </si>
  <si>
    <t>Gross royalty, UGX billions</t>
  </si>
  <si>
    <t>Local govt royalty, UGX billions</t>
  </si>
  <si>
    <t>Total local govt royalty, UGX billions</t>
  </si>
  <si>
    <t>Annual avg local govt royalty, UGX billions</t>
  </si>
  <si>
    <t>Total local govt royalty to oil producing districts, UGX billions</t>
  </si>
  <si>
    <t>Total local govt royalty to all listed districts, UGX billions</t>
  </si>
  <si>
    <t>Cultural institution royalty, UGX billions</t>
  </si>
  <si>
    <t>Total cultural institution royalty, UGX billions</t>
  </si>
  <si>
    <t>Annual avg cultural institution royalty, UGX billions</t>
  </si>
  <si>
    <t>Price scenario</t>
  </si>
  <si>
    <t>Price scenario options</t>
  </si>
  <si>
    <t>Oil producing district? (1 = Yes, 0 = No)</t>
  </si>
  <si>
    <t>Share of production</t>
  </si>
  <si>
    <t>[Share of impact]</t>
  </si>
  <si>
    <t>Royalty share 1 (USD mln)</t>
  </si>
  <si>
    <t>Royalty share 1 (UGX bln)</t>
  </si>
  <si>
    <t>Population</t>
  </si>
  <si>
    <t>% population share</t>
  </si>
  <si>
    <t>[Terrain]</t>
  </si>
  <si>
    <t>Royalty share 2 (USD mln)</t>
  </si>
  <si>
    <t>Royalty share 2 (UGX bln)</t>
  </si>
  <si>
    <t>Total Royalties (USD mln)</t>
  </si>
  <si>
    <t>Total Royalties (UGX bln)</t>
  </si>
  <si>
    <t>Average Annual Royalties (USD mln)</t>
  </si>
  <si>
    <t>Average Annual Royalties (UGX bln)</t>
  </si>
  <si>
    <t>Total royalty for sharing</t>
  </si>
  <si>
    <t>Bunyangabu</t>
  </si>
  <si>
    <t>Hoima City</t>
  </si>
  <si>
    <t>Kagadi</t>
  </si>
  <si>
    <t>Kakumiro</t>
  </si>
  <si>
    <t>Kikuube</t>
  </si>
  <si>
    <t>Kitagwende</t>
  </si>
  <si>
    <t>Kyenjojo</t>
  </si>
  <si>
    <t>Maracha</t>
  </si>
  <si>
    <t>Obongi</t>
  </si>
  <si>
    <t>Terego</t>
  </si>
  <si>
    <t>Cultural and traditional institutions share</t>
  </si>
  <si>
    <t>Royalty scenario</t>
  </si>
  <si>
    <t>Royalty scenario options</t>
  </si>
  <si>
    <t xml:space="preserve">Cultural institution </t>
  </si>
  <si>
    <t>NZE</t>
  </si>
  <si>
    <t>APS</t>
  </si>
  <si>
    <t>OPEC</t>
  </si>
  <si>
    <t>Weighting of share determinants</t>
  </si>
  <si>
    <t>% geographical area share</t>
  </si>
  <si>
    <t>Purpose</t>
  </si>
  <si>
    <t>Table of contents</t>
  </si>
  <si>
    <t>Cell code</t>
  </si>
  <si>
    <t>X</t>
  </si>
  <si>
    <t>User can change</t>
  </si>
  <si>
    <t>User cannot change</t>
  </si>
  <si>
    <t>Sources</t>
  </si>
  <si>
    <t>Disclaimer</t>
  </si>
  <si>
    <t xml:space="preserve">This work is licensed under the Creative Commons Attribution 4.0 International License. </t>
  </si>
  <si>
    <t>To view a copy of this license, visit http://creativecommons.org/licenses/by/4.0/</t>
  </si>
  <si>
    <t>Model of Uganda's oil revenue sharing mechanism</t>
  </si>
  <si>
    <t>Locally raised revenues</t>
  </si>
  <si>
    <t>Discretionary government transfers</t>
  </si>
  <si>
    <t>Conditional government transfers</t>
  </si>
  <si>
    <t>Other government transfers</t>
  </si>
  <si>
    <t>Total govenrment transfers</t>
  </si>
  <si>
    <t xml:space="preserve">External financing </t>
  </si>
  <si>
    <t>Total local government budget</t>
  </si>
  <si>
    <t>Average annual royalty as % of locally raised revenue</t>
  </si>
  <si>
    <t>Average annual royalty as % of government transfers</t>
  </si>
  <si>
    <t>Average annual royalty as % of external financing</t>
  </si>
  <si>
    <t>Average annual royalty as % of total budget</t>
  </si>
  <si>
    <t>Local government budget - planned 2021/22</t>
  </si>
  <si>
    <t>Last updated 15 August 2022</t>
  </si>
  <si>
    <t>Revenue projections</t>
  </si>
  <si>
    <t xml:space="preserve">The calculation of total royalties and the share that subnational entities will receive, based on inputs that can be changed by the user in this sheet. </t>
  </si>
  <si>
    <t>Subnational distribution</t>
  </si>
  <si>
    <t>The calculation of how the subnational share will be distributed between districts depending on the formula used.</t>
  </si>
  <si>
    <t>Local government finances</t>
  </si>
  <si>
    <t>The comparison of subnational transfers with the current funding sources for local governments.</t>
  </si>
  <si>
    <t>Geographical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</si>
</sst>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_-;\-* #,##0_-;_-* &quot;-&quot;??_-;_-@_-"/>
    <numFmt numFmtId="166" formatCode="_-* #,##0.0_-;\-* #,##0.0_-;_-* &quot;-&quot;??_-;_-@_-"/>
    <numFmt numFmtId="167" formatCode="0.0"/>
    <numFmt numFmtId="168" formatCode="#,##0_);[Red]\(#,##0\);\-"/>
    <numFmt numFmtId="169" formatCode="0.0%"/>
    <numFmt numFmtId="170" formatCode="_-* #,##0.000_-;\-* #,##0.000_-;_-* &quot;-&quot;??_-;_-@_-"/>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sz val="8"/>
      <name val="Calibri"/>
      <family val="2"/>
      <scheme val="minor"/>
    </font>
    <font>
      <u/>
      <sz val="11"/>
      <color theme="10"/>
      <name val="Calibri"/>
      <family val="2"/>
      <scheme val="minor"/>
    </font>
    <font>
      <i/>
      <sz val="26"/>
      <color theme="1"/>
      <name val="Calibri"/>
      <family val="2"/>
      <scheme val="minor"/>
    </font>
    <font>
      <i/>
      <sz val="18"/>
      <color theme="1"/>
      <name val="Calibri"/>
      <family val="2"/>
      <scheme val="minor"/>
    </font>
    <font>
      <b/>
      <sz val="12"/>
      <color theme="1"/>
      <name val="Calibri"/>
      <family val="2"/>
      <scheme val="minor"/>
    </font>
    <font>
      <sz val="10"/>
      <color theme="1"/>
      <name val="Arial"/>
      <family val="2"/>
    </font>
    <font>
      <sz val="11"/>
      <color theme="8" tint="-0.249977111117893"/>
      <name val="Calibri"/>
      <family val="2"/>
      <scheme val="minor"/>
    </font>
    <font>
      <sz val="10"/>
      <color theme="8" tint="-0.249977111117893"/>
      <name val="Arial"/>
      <family val="2"/>
    </font>
    <font>
      <sz val="9"/>
      <color indexed="81"/>
      <name val="Tahoma"/>
      <family val="2"/>
    </font>
    <font>
      <b/>
      <sz val="9"/>
      <color indexed="81"/>
      <name val="Tahoma"/>
      <family val="2"/>
    </font>
    <font>
      <sz val="14"/>
      <color theme="0"/>
      <name val="Calibri"/>
      <family val="2"/>
      <scheme val="minor"/>
    </font>
    <font>
      <b/>
      <sz val="14"/>
      <color theme="0"/>
      <name val="Calibri"/>
      <family val="2"/>
      <scheme val="minor"/>
    </font>
    <font>
      <sz val="14"/>
      <color theme="1"/>
      <name val="Calibri"/>
      <family val="2"/>
      <scheme val="minor"/>
    </font>
    <font>
      <i/>
      <sz val="14"/>
      <color theme="0"/>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rgb="FF0070C0"/>
        <bgColor indexed="64"/>
      </patternFill>
    </fill>
    <fill>
      <patternFill patternType="solid">
        <fgColor rgb="FFFFFF66"/>
        <bgColor indexed="64"/>
      </patternFill>
    </fill>
    <fill>
      <patternFill patternType="solid">
        <fgColor rgb="FF92D05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168" fontId="1" fillId="0" borderId="0"/>
  </cellStyleXfs>
  <cellXfs count="71">
    <xf numFmtId="0" fontId="0" fillId="0" borderId="0" xfId="0"/>
    <xf numFmtId="165" fontId="0" fillId="0" borderId="0" xfId="0" applyNumberFormat="1"/>
    <xf numFmtId="9" fontId="0" fillId="0" borderId="0" xfId="2" applyFont="1"/>
    <xf numFmtId="166" fontId="0" fillId="0" borderId="0" xfId="1" applyNumberFormat="1" applyFont="1"/>
    <xf numFmtId="165" fontId="0" fillId="0" borderId="0" xfId="1" applyNumberFormat="1" applyFont="1"/>
    <xf numFmtId="1" fontId="0" fillId="0" borderId="0" xfId="0" applyNumberFormat="1"/>
    <xf numFmtId="9" fontId="0" fillId="0" borderId="0" xfId="0" applyNumberFormat="1"/>
    <xf numFmtId="10" fontId="0" fillId="0" borderId="0" xfId="0" applyNumberFormat="1"/>
    <xf numFmtId="0" fontId="3" fillId="0" borderId="0" xfId="0" applyFont="1"/>
    <xf numFmtId="0" fontId="0" fillId="0" borderId="0" xfId="0" applyAlignment="1">
      <alignment horizontal="left"/>
    </xf>
    <xf numFmtId="165" fontId="0" fillId="0" borderId="0" xfId="0" applyNumberFormat="1" applyAlignment="1">
      <alignment horizontal="left"/>
    </xf>
    <xf numFmtId="0" fontId="0" fillId="0" borderId="0" xfId="0" applyAlignment="1">
      <alignment horizontal="center"/>
    </xf>
    <xf numFmtId="9" fontId="0" fillId="0" borderId="0" xfId="0" applyNumberFormat="1" applyAlignment="1">
      <alignment horizontal="left"/>
    </xf>
    <xf numFmtId="0" fontId="5" fillId="0" borderId="0" xfId="0" applyFont="1"/>
    <xf numFmtId="10" fontId="0" fillId="0" borderId="0" xfId="2" applyNumberFormat="1" applyFont="1"/>
    <xf numFmtId="0" fontId="6" fillId="0" borderId="0" xfId="0" applyFont="1"/>
    <xf numFmtId="10" fontId="0" fillId="0" borderId="0" xfId="2" applyNumberFormat="1" applyFont="1" applyFill="1" applyAlignment="1">
      <alignment horizontal="left"/>
    </xf>
    <xf numFmtId="0" fontId="5" fillId="0" borderId="0" xfId="0" applyFont="1" applyAlignment="1">
      <alignment horizontal="center"/>
    </xf>
    <xf numFmtId="0" fontId="3" fillId="0" borderId="0" xfId="0" applyFont="1" applyAlignment="1">
      <alignment horizontal="center"/>
    </xf>
    <xf numFmtId="0" fontId="0" fillId="0" borderId="0" xfId="0" applyAlignment="1">
      <alignment horizontal="center" vertical="center"/>
    </xf>
    <xf numFmtId="0" fontId="3" fillId="0" borderId="0" xfId="0" applyFont="1" applyAlignment="1">
      <alignment horizontal="center" vertical="center" wrapText="1"/>
    </xf>
    <xf numFmtId="1" fontId="0" fillId="0" borderId="0" xfId="0" applyNumberFormat="1" applyAlignment="1">
      <alignment horizontal="center"/>
    </xf>
    <xf numFmtId="165" fontId="0" fillId="0" borderId="0" xfId="1" applyNumberFormat="1" applyFont="1" applyFill="1" applyBorder="1" applyAlignment="1">
      <alignment horizontal="center"/>
    </xf>
    <xf numFmtId="165" fontId="0" fillId="0" borderId="0" xfId="1" applyNumberFormat="1" applyFont="1" applyFill="1" applyBorder="1" applyAlignment="1">
      <alignment horizontal="center" wrapText="1"/>
    </xf>
    <xf numFmtId="167" fontId="0" fillId="0" borderId="0" xfId="0" applyNumberFormat="1" applyAlignment="1">
      <alignment horizontal="center"/>
    </xf>
    <xf numFmtId="9" fontId="0" fillId="0" borderId="0" xfId="2" applyFont="1" applyFill="1" applyBorder="1" applyAlignment="1">
      <alignment horizontal="center"/>
    </xf>
    <xf numFmtId="167" fontId="5" fillId="0" borderId="0" xfId="0" applyNumberFormat="1" applyFont="1" applyAlignment="1">
      <alignment horizontal="center"/>
    </xf>
    <xf numFmtId="165" fontId="5" fillId="0" borderId="0" xfId="1" applyNumberFormat="1" applyFont="1" applyFill="1" applyBorder="1" applyAlignment="1">
      <alignment horizontal="center"/>
    </xf>
    <xf numFmtId="9" fontId="5" fillId="0" borderId="0" xfId="2" applyFont="1" applyFill="1" applyBorder="1" applyAlignment="1">
      <alignment horizontal="center"/>
    </xf>
    <xf numFmtId="2" fontId="0" fillId="0" borderId="0" xfId="0" applyNumberFormat="1" applyAlignment="1">
      <alignment horizontal="center"/>
    </xf>
    <xf numFmtId="0" fontId="3" fillId="0" borderId="0" xfId="0" applyFont="1" applyAlignment="1">
      <alignment horizontal="center"/>
    </xf>
    <xf numFmtId="168" fontId="1" fillId="0" borderId="0" xfId="4"/>
    <xf numFmtId="168" fontId="9" fillId="0" borderId="0" xfId="4" applyFont="1"/>
    <xf numFmtId="168" fontId="10" fillId="0" borderId="0" xfId="4" applyFont="1"/>
    <xf numFmtId="168" fontId="8" fillId="0" borderId="0" xfId="3" applyNumberFormat="1" applyAlignment="1" applyProtection="1">
      <alignment vertical="center"/>
      <protection hidden="1"/>
    </xf>
    <xf numFmtId="168" fontId="1" fillId="0" borderId="0" xfId="4" applyAlignment="1" applyProtection="1">
      <alignment vertical="center"/>
      <protection hidden="1"/>
    </xf>
    <xf numFmtId="168" fontId="5" fillId="0" borderId="0" xfId="4" applyFont="1" applyAlignment="1" applyProtection="1">
      <alignment vertical="top"/>
      <protection hidden="1"/>
    </xf>
    <xf numFmtId="168" fontId="11" fillId="0" borderId="0" xfId="4" applyFont="1"/>
    <xf numFmtId="1" fontId="12" fillId="0" borderId="1" xfId="2" applyNumberFormat="1" applyFont="1" applyFill="1" applyBorder="1" applyAlignment="1">
      <alignment horizontal="center" vertical="center"/>
    </xf>
    <xf numFmtId="168" fontId="5" fillId="0" borderId="0" xfId="4" applyFont="1" applyAlignment="1">
      <alignment horizontal="center"/>
    </xf>
    <xf numFmtId="168" fontId="11" fillId="4" borderId="0" xfId="4" applyFont="1" applyFill="1"/>
    <xf numFmtId="0" fontId="13" fillId="5" borderId="0" xfId="0" applyFont="1" applyFill="1"/>
    <xf numFmtId="165" fontId="13" fillId="5" borderId="0" xfId="1" applyNumberFormat="1" applyFont="1" applyFill="1"/>
    <xf numFmtId="9" fontId="13" fillId="5" borderId="0" xfId="0" applyNumberFormat="1" applyFont="1" applyFill="1" applyAlignment="1">
      <alignment horizontal="right"/>
    </xf>
    <xf numFmtId="1" fontId="14" fillId="3" borderId="1" xfId="2" applyNumberFormat="1" applyFont="1" applyFill="1" applyBorder="1" applyAlignment="1">
      <alignment horizontal="center" vertical="center"/>
    </xf>
    <xf numFmtId="1" fontId="13" fillId="5" borderId="0" xfId="0" applyNumberFormat="1" applyFont="1" applyFill="1"/>
    <xf numFmtId="0" fontId="13" fillId="5" borderId="0" xfId="0" applyFont="1" applyFill="1" applyAlignment="1">
      <alignment horizontal="left"/>
    </xf>
    <xf numFmtId="10" fontId="13" fillId="5" borderId="0" xfId="0" applyNumberFormat="1" applyFont="1" applyFill="1" applyAlignment="1">
      <alignment horizontal="left"/>
    </xf>
    <xf numFmtId="9" fontId="13" fillId="5" borderId="0" xfId="0" applyNumberFormat="1" applyFont="1" applyFill="1" applyAlignment="1">
      <alignment horizontal="left"/>
    </xf>
    <xf numFmtId="165" fontId="13" fillId="5" borderId="0" xfId="1" applyNumberFormat="1" applyFont="1" applyFill="1" applyAlignment="1">
      <alignment horizontal="left"/>
    </xf>
    <xf numFmtId="0" fontId="4" fillId="0" borderId="0" xfId="0" applyFont="1" applyFill="1"/>
    <xf numFmtId="0" fontId="2" fillId="0" borderId="0" xfId="0" applyFont="1" applyFill="1"/>
    <xf numFmtId="0" fontId="0" fillId="0" borderId="0" xfId="0" applyFill="1"/>
    <xf numFmtId="0" fontId="13" fillId="5" borderId="0" xfId="0" applyFont="1" applyFill="1" applyAlignment="1">
      <alignment horizontal="center"/>
    </xf>
    <xf numFmtId="9" fontId="13" fillId="5" borderId="0" xfId="0" applyNumberFormat="1" applyFont="1" applyFill="1" applyAlignment="1">
      <alignment horizontal="center" vertical="center" wrapText="1"/>
    </xf>
    <xf numFmtId="9" fontId="13" fillId="5" borderId="0" xfId="0" applyNumberFormat="1" applyFont="1" applyFill="1" applyAlignment="1">
      <alignment horizontal="center"/>
    </xf>
    <xf numFmtId="165" fontId="13" fillId="5" borderId="0" xfId="1" applyNumberFormat="1" applyFont="1" applyFill="1" applyBorder="1" applyAlignment="1">
      <alignment horizontal="center"/>
    </xf>
    <xf numFmtId="167" fontId="0" fillId="5" borderId="0" xfId="0" applyNumberFormat="1" applyFill="1" applyAlignment="1">
      <alignment horizontal="center"/>
    </xf>
    <xf numFmtId="166" fontId="0" fillId="5" borderId="0" xfId="0" applyNumberFormat="1" applyFill="1" applyAlignment="1">
      <alignment horizontal="center"/>
    </xf>
    <xf numFmtId="2" fontId="0" fillId="0" borderId="0" xfId="0" applyNumberFormat="1"/>
    <xf numFmtId="169" fontId="0" fillId="0" borderId="0" xfId="2" applyNumberFormat="1" applyFont="1" applyFill="1" applyAlignment="1">
      <alignment horizontal="center"/>
    </xf>
    <xf numFmtId="2" fontId="5" fillId="0" borderId="0" xfId="0" applyNumberFormat="1" applyFont="1" applyAlignment="1">
      <alignment horizontal="right"/>
    </xf>
    <xf numFmtId="169" fontId="5" fillId="0" borderId="0" xfId="2" applyNumberFormat="1" applyFont="1" applyFill="1" applyAlignment="1">
      <alignment horizontal="center"/>
    </xf>
    <xf numFmtId="0" fontId="17" fillId="2" borderId="0" xfId="0" applyFont="1" applyFill="1"/>
    <xf numFmtId="0" fontId="18" fillId="2" borderId="0" xfId="0" applyFont="1" applyFill="1"/>
    <xf numFmtId="0" fontId="19" fillId="0" borderId="0" xfId="0" applyFont="1"/>
    <xf numFmtId="0" fontId="17" fillId="2" borderId="0" xfId="0" applyFont="1" applyFill="1" applyAlignment="1">
      <alignment horizontal="left"/>
    </xf>
    <xf numFmtId="0" fontId="20" fillId="2" borderId="0" xfId="0" applyFont="1" applyFill="1"/>
    <xf numFmtId="0" fontId="17" fillId="2" borderId="0" xfId="0" applyFont="1" applyFill="1" applyAlignment="1">
      <alignment horizontal="right"/>
    </xf>
    <xf numFmtId="170" fontId="0" fillId="0" borderId="0" xfId="1" applyNumberFormat="1" applyFont="1"/>
    <xf numFmtId="0" fontId="5" fillId="0" borderId="0" xfId="0" applyFont="1" applyAlignment="1">
      <alignment horizontal="center"/>
    </xf>
  </cellXfs>
  <cellStyles count="5">
    <cellStyle name="Comma" xfId="1" builtinId="3"/>
    <cellStyle name="Hyperlink" xfId="3" builtinId="8"/>
    <cellStyle name="Normal" xfId="0" builtinId="0"/>
    <cellStyle name="Normal 2 2 11" xfId="4" xr:uid="{3169CA8B-A730-4967-AC13-1984CAD25022}"/>
    <cellStyle name="Percent" xfId="2" builtinId="5"/>
  </cellStyles>
  <dxfs count="3">
    <dxf>
      <font>
        <color auto="1"/>
      </font>
      <fill>
        <patternFill>
          <bgColor theme="9" tint="0.39994506668294322"/>
        </patternFill>
      </fill>
    </dxf>
    <dxf>
      <font>
        <color auto="1"/>
      </font>
      <fill>
        <patternFill>
          <bgColor rgb="FFFFC7CE"/>
        </patternFill>
      </fill>
    </dxf>
    <dxf>
      <fill>
        <patternFill>
          <bgColor theme="4" tint="0.39994506668294322"/>
        </patternFill>
      </fill>
    </dxf>
  </dxfs>
  <tableStyles count="0" defaultTableStyle="TableStyleMedium2" defaultPivotStyle="PivotStyleLight16"/>
  <colors>
    <mruColors>
      <color rgb="FFFFFF99"/>
      <color rgb="FF527287"/>
      <color rgb="FF53CAEC"/>
      <color rgb="FFFF70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Local government</a:t>
            </a:r>
            <a:r>
              <a:rPr lang="en-US" baseline="0"/>
              <a:t> share of royalty, $ millions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'Revenue projections'!$C$43</c:f>
              <c:strCache>
                <c:ptCount val="1"/>
                <c:pt idx="0">
                  <c:v>NZE</c:v>
                </c:pt>
              </c:strCache>
            </c:strRef>
          </c:tx>
          <c:spPr>
            <a:ln w="28575" cap="rnd">
              <a:solidFill>
                <a:schemeClr val="accent1"/>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projections'!$D$43:$AP$43</c:f>
              <c:numCache>
                <c:formatCode>_-* #,##0_-;\-* #,##0_-;_-* "-"??_-;_-@_-</c:formatCode>
                <c:ptCount val="39"/>
                <c:pt idx="0">
                  <c:v>0</c:v>
                </c:pt>
                <c:pt idx="1">
                  <c:v>0</c:v>
                </c:pt>
                <c:pt idx="2">
                  <c:v>0</c:v>
                </c:pt>
                <c:pt idx="3">
                  <c:v>0.67135338197835981</c:v>
                </c:pt>
                <c:pt idx="4">
                  <c:v>1.2461540822276869</c:v>
                </c:pt>
                <c:pt idx="5">
                  <c:v>2.2015350650414582</c:v>
                </c:pt>
                <c:pt idx="6">
                  <c:v>2.2016707472869435</c:v>
                </c:pt>
                <c:pt idx="7">
                  <c:v>1.558504385194533</c:v>
                </c:pt>
                <c:pt idx="8">
                  <c:v>0.91319710433622425</c:v>
                </c:pt>
                <c:pt idx="9">
                  <c:v>0.91218948527281274</c:v>
                </c:pt>
                <c:pt idx="10">
                  <c:v>0.90941495239363856</c:v>
                </c:pt>
                <c:pt idx="11">
                  <c:v>0.87334990546227709</c:v>
                </c:pt>
                <c:pt idx="12">
                  <c:v>0.81955133002333036</c:v>
                </c:pt>
                <c:pt idx="13">
                  <c:v>0.75497305160291039</c:v>
                </c:pt>
                <c:pt idx="14">
                  <c:v>0.69710056117622332</c:v>
                </c:pt>
                <c:pt idx="15">
                  <c:v>0.64187943761625299</c:v>
                </c:pt>
                <c:pt idx="16">
                  <c:v>0.592160390480993</c:v>
                </c:pt>
                <c:pt idx="17">
                  <c:v>0.54469523239998896</c:v>
                </c:pt>
                <c:pt idx="18">
                  <c:v>0.14810982156214172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0-E224-4FA8-B113-1E332B2F85EF}"/>
            </c:ext>
          </c:extLst>
        </c:ser>
        <c:ser>
          <c:idx val="1"/>
          <c:order val="1"/>
          <c:tx>
            <c:strRef>
              <c:f>'Revenue projections'!$C$44</c:f>
              <c:strCache>
                <c:ptCount val="1"/>
                <c:pt idx="0">
                  <c:v>APS</c:v>
                </c:pt>
              </c:strCache>
            </c:strRef>
          </c:tx>
          <c:spPr>
            <a:ln w="28575" cap="rnd">
              <a:solidFill>
                <a:schemeClr val="accent2"/>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projections'!$D$44:$AP$44</c:f>
              <c:numCache>
                <c:formatCode>_-* #,##0_-;\-* #,##0_-;_-* "-"??_-;_-@_-</c:formatCode>
                <c:ptCount val="39"/>
                <c:pt idx="0">
                  <c:v>0</c:v>
                </c:pt>
                <c:pt idx="1">
                  <c:v>0</c:v>
                </c:pt>
                <c:pt idx="2">
                  <c:v>0</c:v>
                </c:pt>
                <c:pt idx="3">
                  <c:v>3.8600894846998646</c:v>
                </c:pt>
                <c:pt idx="4">
                  <c:v>8.4583583573150847</c:v>
                </c:pt>
                <c:pt idx="5">
                  <c:v>15.451722524298681</c:v>
                </c:pt>
                <c:pt idx="6">
                  <c:v>16.442558211519117</c:v>
                </c:pt>
                <c:pt idx="7">
                  <c:v>18.428864300166843</c:v>
                </c:pt>
                <c:pt idx="8">
                  <c:v>18.751840899946977</c:v>
                </c:pt>
                <c:pt idx="9">
                  <c:v>19.545890686723485</c:v>
                </c:pt>
                <c:pt idx="10">
                  <c:v>23.603642367323424</c:v>
                </c:pt>
                <c:pt idx="11">
                  <c:v>24.163892950789673</c:v>
                </c:pt>
                <c:pt idx="12">
                  <c:v>24.052014916710473</c:v>
                </c:pt>
                <c:pt idx="13">
                  <c:v>22.916298887053994</c:v>
                </c:pt>
                <c:pt idx="14">
                  <c:v>21.762044231147573</c:v>
                </c:pt>
                <c:pt idx="15">
                  <c:v>20.605327712809554</c:v>
                </c:pt>
                <c:pt idx="16">
                  <c:v>19.459092838301569</c:v>
                </c:pt>
                <c:pt idx="17">
                  <c:v>18.333625710550713</c:v>
                </c:pt>
                <c:pt idx="18">
                  <c:v>17.459419288234763</c:v>
                </c:pt>
                <c:pt idx="19">
                  <c:v>16.575525909743995</c:v>
                </c:pt>
                <c:pt idx="20">
                  <c:v>15.693332460253117</c:v>
                </c:pt>
                <c:pt idx="21">
                  <c:v>14.821970563616183</c:v>
                </c:pt>
                <c:pt idx="22">
                  <c:v>13.968660956212805</c:v>
                </c:pt>
                <c:pt idx="23">
                  <c:v>13.139010836046227</c:v>
                </c:pt>
                <c:pt idx="24">
                  <c:v>12.337270218200606</c:v>
                </c:pt>
                <c:pt idx="25">
                  <c:v>11.566552584758027</c:v>
                </c:pt>
                <c:pt idx="26">
                  <c:v>10.829024463273065</c:v>
                </c:pt>
                <c:pt idx="27">
                  <c:v>10.126067992457696</c:v>
                </c:pt>
                <c:pt idx="28">
                  <c:v>9.4584200276090495</c:v>
                </c:pt>
                <c:pt idx="29">
                  <c:v>8.7469881854124427</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E224-4FA8-B113-1E332B2F85EF}"/>
            </c:ext>
          </c:extLst>
        </c:ser>
        <c:ser>
          <c:idx val="2"/>
          <c:order val="2"/>
          <c:tx>
            <c:strRef>
              <c:f>'Revenue projections'!$C$45</c:f>
              <c:strCache>
                <c:ptCount val="1"/>
                <c:pt idx="0">
                  <c:v>OPEC</c:v>
                </c:pt>
              </c:strCache>
            </c:strRef>
          </c:tx>
          <c:spPr>
            <a:ln w="28575" cap="rnd">
              <a:solidFill>
                <a:schemeClr val="accent3"/>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projections'!$D$45:$AP$45</c:f>
              <c:numCache>
                <c:formatCode>_-* #,##0_-;\-* #,##0_-;_-* "-"??_-;_-@_-</c:formatCode>
                <c:ptCount val="39"/>
                <c:pt idx="0">
                  <c:v>0</c:v>
                </c:pt>
                <c:pt idx="1">
                  <c:v>0</c:v>
                </c:pt>
                <c:pt idx="2">
                  <c:v>0</c:v>
                </c:pt>
                <c:pt idx="3">
                  <c:v>5.6395181058748358</c:v>
                </c:pt>
                <c:pt idx="4">
                  <c:v>11.037599843059976</c:v>
                </c:pt>
                <c:pt idx="5">
                  <c:v>24.355670617676974</c:v>
                </c:pt>
                <c:pt idx="6">
                  <c:v>24.586413174974879</c:v>
                </c:pt>
                <c:pt idx="7">
                  <c:v>23.72568053656083</c:v>
                </c:pt>
                <c:pt idx="8">
                  <c:v>22.885941377132561</c:v>
                </c:pt>
                <c:pt idx="9">
                  <c:v>22.066683660617144</c:v>
                </c:pt>
                <c:pt idx="10">
                  <c:v>21.157089130413606</c:v>
                </c:pt>
                <c:pt idx="11">
                  <c:v>19.578237777429155</c:v>
                </c:pt>
                <c:pt idx="12">
                  <c:v>24.052014916710473</c:v>
                </c:pt>
                <c:pt idx="13">
                  <c:v>23.294672217272918</c:v>
                </c:pt>
                <c:pt idx="14">
                  <c:v>22.442326600473255</c:v>
                </c:pt>
                <c:pt idx="15">
                  <c:v>23.051828701192949</c:v>
                </c:pt>
                <c:pt idx="16">
                  <c:v>23.308925980988295</c:v>
                </c:pt>
                <c:pt idx="17">
                  <c:v>23.279804051348169</c:v>
                </c:pt>
                <c:pt idx="18">
                  <c:v>25.245281967617959</c:v>
                </c:pt>
                <c:pt idx="19">
                  <c:v>23.356000647201846</c:v>
                </c:pt>
                <c:pt idx="20">
                  <c:v>21.542526620038778</c:v>
                </c:pt>
                <c:pt idx="21">
                  <c:v>21.233951529980502</c:v>
                </c:pt>
                <c:pt idx="22">
                  <c:v>19.593579348072755</c:v>
                </c:pt>
                <c:pt idx="23">
                  <c:v>18.084454397621386</c:v>
                </c:pt>
                <c:pt idx="24">
                  <c:v>17.765582159442818</c:v>
                </c:pt>
                <c:pt idx="25">
                  <c:v>16.40607633639463</c:v>
                </c:pt>
                <c:pt idx="26">
                  <c:v>15.156020817494099</c:v>
                </c:pt>
                <c:pt idx="27">
                  <c:v>14.005402407870932</c:v>
                </c:pt>
                <c:pt idx="28">
                  <c:v>12.946936840346568</c:v>
                </c:pt>
                <c:pt idx="29">
                  <c:v>11.973110017236111</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2-E224-4FA8-B113-1E332B2F85EF}"/>
            </c:ext>
          </c:extLst>
        </c:ser>
        <c:dLbls>
          <c:showLegendKey val="0"/>
          <c:showVal val="0"/>
          <c:showCatName val="0"/>
          <c:showSerName val="0"/>
          <c:showPercent val="0"/>
          <c:showBubbleSize val="0"/>
        </c:dLbls>
        <c:smooth val="0"/>
        <c:axId val="1433871"/>
        <c:axId val="1443439"/>
      </c:lineChart>
      <c:catAx>
        <c:axId val="143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3439"/>
        <c:crosses val="autoZero"/>
        <c:auto val="1"/>
        <c:lblAlgn val="ctr"/>
        <c:lblOffset val="100"/>
        <c:noMultiLvlLbl val="0"/>
      </c:catAx>
      <c:valAx>
        <c:axId val="144343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Local government</a:t>
            </a:r>
            <a:r>
              <a:rPr lang="en-US" baseline="0"/>
              <a:t> share of royalty, UGX billions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'Revenue projections'!$C$106</c:f>
              <c:strCache>
                <c:ptCount val="1"/>
                <c:pt idx="0">
                  <c:v>NZE</c:v>
                </c:pt>
              </c:strCache>
            </c:strRef>
          </c:tx>
          <c:spPr>
            <a:ln w="28575" cap="rnd">
              <a:solidFill>
                <a:schemeClr val="accent1"/>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projections'!$D$106:$AP$106</c:f>
              <c:numCache>
                <c:formatCode>_-* #,##0_-;\-* #,##0_-;_-* "-"??_-;_-@_-</c:formatCode>
                <c:ptCount val="39"/>
                <c:pt idx="0">
                  <c:v>0</c:v>
                </c:pt>
                <c:pt idx="1">
                  <c:v>0</c:v>
                </c:pt>
                <c:pt idx="2">
                  <c:v>0</c:v>
                </c:pt>
                <c:pt idx="3">
                  <c:v>2.4168721751220952</c:v>
                </c:pt>
                <c:pt idx="4">
                  <c:v>4.486154696019673</c:v>
                </c:pt>
                <c:pt idx="5">
                  <c:v>7.9255262341492498</c:v>
                </c:pt>
                <c:pt idx="6">
                  <c:v>7.9260146902329964</c:v>
                </c:pt>
                <c:pt idx="7">
                  <c:v>5.6106157867003192</c:v>
                </c:pt>
                <c:pt idx="8">
                  <c:v>3.2875095756104074</c:v>
                </c:pt>
                <c:pt idx="9">
                  <c:v>3.2838821469821258</c:v>
                </c:pt>
                <c:pt idx="10">
                  <c:v>3.2738938286170987</c:v>
                </c:pt>
                <c:pt idx="11">
                  <c:v>3.1440596596641974</c:v>
                </c:pt>
                <c:pt idx="12">
                  <c:v>2.9503847880839893</c:v>
                </c:pt>
                <c:pt idx="13">
                  <c:v>2.7179029857704773</c:v>
                </c:pt>
                <c:pt idx="14">
                  <c:v>2.5095620202344038</c:v>
                </c:pt>
                <c:pt idx="15">
                  <c:v>2.3107659754185108</c:v>
                </c:pt>
                <c:pt idx="16">
                  <c:v>2.1317774057315746</c:v>
                </c:pt>
                <c:pt idx="17">
                  <c:v>1.9609028366399603</c:v>
                </c:pt>
                <c:pt idx="18">
                  <c:v>0.53319535762371029</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0-0A0B-4C09-A234-6923FDBFB76D}"/>
            </c:ext>
          </c:extLst>
        </c:ser>
        <c:ser>
          <c:idx val="1"/>
          <c:order val="1"/>
          <c:tx>
            <c:strRef>
              <c:f>'Revenue projections'!$C$107</c:f>
              <c:strCache>
                <c:ptCount val="1"/>
                <c:pt idx="0">
                  <c:v>APS</c:v>
                </c:pt>
              </c:strCache>
            </c:strRef>
          </c:tx>
          <c:spPr>
            <a:ln w="28575" cap="rnd">
              <a:solidFill>
                <a:schemeClr val="accent2"/>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projections'!$D$107:$AP$107</c:f>
              <c:numCache>
                <c:formatCode>_-* #,##0_-;\-* #,##0_-;_-* "-"??_-;_-@_-</c:formatCode>
                <c:ptCount val="39"/>
                <c:pt idx="0">
                  <c:v>0</c:v>
                </c:pt>
                <c:pt idx="1">
                  <c:v>0</c:v>
                </c:pt>
                <c:pt idx="2">
                  <c:v>0</c:v>
                </c:pt>
                <c:pt idx="3">
                  <c:v>13.896322144919512</c:v>
                </c:pt>
                <c:pt idx="4">
                  <c:v>30.450090086334306</c:v>
                </c:pt>
                <c:pt idx="5">
                  <c:v>55.626201087475252</c:v>
                </c:pt>
                <c:pt idx="6">
                  <c:v>59.193209561468819</c:v>
                </c:pt>
                <c:pt idx="7">
                  <c:v>66.343911480600639</c:v>
                </c:pt>
                <c:pt idx="8">
                  <c:v>67.50662723980912</c:v>
                </c:pt>
                <c:pt idx="9">
                  <c:v>70.365206472204548</c:v>
                </c:pt>
                <c:pt idx="10">
                  <c:v>84.973112522364332</c:v>
                </c:pt>
                <c:pt idx="11">
                  <c:v>86.990014622842821</c:v>
                </c:pt>
                <c:pt idx="12">
                  <c:v>86.587253700157703</c:v>
                </c:pt>
                <c:pt idx="13">
                  <c:v>82.498675993394386</c:v>
                </c:pt>
                <c:pt idx="14">
                  <c:v>78.343359232131263</c:v>
                </c:pt>
                <c:pt idx="15">
                  <c:v>74.179179766114387</c:v>
                </c:pt>
                <c:pt idx="16">
                  <c:v>70.052734217885643</c:v>
                </c:pt>
                <c:pt idx="17">
                  <c:v>66.001052557982561</c:v>
                </c:pt>
                <c:pt idx="18">
                  <c:v>62.85390943764515</c:v>
                </c:pt>
                <c:pt idx="19">
                  <c:v>59.671893275078382</c:v>
                </c:pt>
                <c:pt idx="20">
                  <c:v>56.495996856911226</c:v>
                </c:pt>
                <c:pt idx="21">
                  <c:v>53.359094029018266</c:v>
                </c:pt>
                <c:pt idx="22">
                  <c:v>50.287179442366096</c:v>
                </c:pt>
                <c:pt idx="23">
                  <c:v>47.300439009766414</c:v>
                </c:pt>
                <c:pt idx="24">
                  <c:v>44.414172785522183</c:v>
                </c:pt>
                <c:pt idx="25">
                  <c:v>41.639589305128894</c:v>
                </c:pt>
                <c:pt idx="26">
                  <c:v>38.984488067783033</c:v>
                </c:pt>
                <c:pt idx="27">
                  <c:v>36.453844772847702</c:v>
                </c:pt>
                <c:pt idx="28">
                  <c:v>34.050312099392578</c:v>
                </c:pt>
                <c:pt idx="29">
                  <c:v>31.489157467484794</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0A0B-4C09-A234-6923FDBFB76D}"/>
            </c:ext>
          </c:extLst>
        </c:ser>
        <c:ser>
          <c:idx val="2"/>
          <c:order val="2"/>
          <c:tx>
            <c:strRef>
              <c:f>'Revenue projections'!$C$108</c:f>
              <c:strCache>
                <c:ptCount val="1"/>
                <c:pt idx="0">
                  <c:v>OPEC</c:v>
                </c:pt>
              </c:strCache>
            </c:strRef>
          </c:tx>
          <c:spPr>
            <a:ln w="28575" cap="rnd">
              <a:solidFill>
                <a:schemeClr val="accent3"/>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projections'!$D$108:$AP$108</c:f>
              <c:numCache>
                <c:formatCode>_-* #,##0_-;\-* #,##0_-;_-* "-"??_-;_-@_-</c:formatCode>
                <c:ptCount val="39"/>
                <c:pt idx="0">
                  <c:v>0</c:v>
                </c:pt>
                <c:pt idx="1">
                  <c:v>0</c:v>
                </c:pt>
                <c:pt idx="2">
                  <c:v>0</c:v>
                </c:pt>
                <c:pt idx="3">
                  <c:v>20.302265181149412</c:v>
                </c:pt>
                <c:pt idx="4">
                  <c:v>39.735359435015909</c:v>
                </c:pt>
                <c:pt idx="5">
                  <c:v>87.680414223637115</c:v>
                </c:pt>
                <c:pt idx="6">
                  <c:v>88.511087429909566</c:v>
                </c:pt>
                <c:pt idx="7">
                  <c:v>85.412449931618994</c:v>
                </c:pt>
                <c:pt idx="8">
                  <c:v>82.389388957677227</c:v>
                </c:pt>
                <c:pt idx="9">
                  <c:v>79.440061178221711</c:v>
                </c:pt>
                <c:pt idx="10">
                  <c:v>76.165520869488986</c:v>
                </c:pt>
                <c:pt idx="11">
                  <c:v>70.481655998744955</c:v>
                </c:pt>
                <c:pt idx="12">
                  <c:v>86.587253700157703</c:v>
                </c:pt>
                <c:pt idx="13">
                  <c:v>83.860819982182505</c:v>
                </c:pt>
                <c:pt idx="14">
                  <c:v>80.792375761703724</c:v>
                </c:pt>
                <c:pt idx="15">
                  <c:v>82.986583324294628</c:v>
                </c:pt>
                <c:pt idx="16">
                  <c:v>83.912133531557856</c:v>
                </c:pt>
                <c:pt idx="17">
                  <c:v>83.807294584853409</c:v>
                </c:pt>
                <c:pt idx="18">
                  <c:v>90.883015083424667</c:v>
                </c:pt>
                <c:pt idx="19">
                  <c:v>84.081602329926639</c:v>
                </c:pt>
                <c:pt idx="20">
                  <c:v>77.553095832139604</c:v>
                </c:pt>
                <c:pt idx="21">
                  <c:v>76.442225507929805</c:v>
                </c:pt>
                <c:pt idx="22">
                  <c:v>70.53688565306193</c:v>
                </c:pt>
                <c:pt idx="23">
                  <c:v>65.104035831436988</c:v>
                </c:pt>
                <c:pt idx="24">
                  <c:v>63.956095773994143</c:v>
                </c:pt>
                <c:pt idx="25">
                  <c:v>59.061874811020665</c:v>
                </c:pt>
                <c:pt idx="26">
                  <c:v>54.561674942978762</c:v>
                </c:pt>
                <c:pt idx="27">
                  <c:v>50.419448668335356</c:v>
                </c:pt>
                <c:pt idx="28">
                  <c:v>46.608972625247645</c:v>
                </c:pt>
                <c:pt idx="29">
                  <c:v>43.103196062050003</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2-0A0B-4C09-A234-6923FDBFB76D}"/>
            </c:ext>
          </c:extLst>
        </c:ser>
        <c:dLbls>
          <c:showLegendKey val="0"/>
          <c:showVal val="0"/>
          <c:showCatName val="0"/>
          <c:showSerName val="0"/>
          <c:showPercent val="0"/>
          <c:showBubbleSize val="0"/>
        </c:dLbls>
        <c:smooth val="0"/>
        <c:axId val="1433871"/>
        <c:axId val="1443439"/>
      </c:lineChart>
      <c:catAx>
        <c:axId val="143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3439"/>
        <c:crosses val="autoZero"/>
        <c:auto val="1"/>
        <c:lblAlgn val="ctr"/>
        <c:lblOffset val="100"/>
        <c:noMultiLvlLbl val="0"/>
      </c:catAx>
      <c:valAx>
        <c:axId val="144343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Cultural</a:t>
            </a:r>
            <a:r>
              <a:rPr lang="en-US" baseline="0"/>
              <a:t> institution share of (gross) royalty, </a:t>
            </a:r>
          </a:p>
          <a:p>
            <a:pPr>
              <a:defRPr/>
            </a:pPr>
            <a:r>
              <a:rPr lang="en-US" baseline="0"/>
              <a:t>$ millions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'Revenue projections'!$C$72</c:f>
              <c:strCache>
                <c:ptCount val="1"/>
                <c:pt idx="0">
                  <c:v>NZE</c:v>
                </c:pt>
              </c:strCache>
            </c:strRef>
          </c:tx>
          <c:spPr>
            <a:ln w="28575" cap="rnd">
              <a:solidFill>
                <a:schemeClr val="accent1"/>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projections'!$D$72:$AP$72</c:f>
              <c:numCache>
                <c:formatCode>_-* #,##0_-;\-* #,##0_-;_-* "-"??_-;_-@_-</c:formatCode>
                <c:ptCount val="39"/>
                <c:pt idx="0">
                  <c:v>0</c:v>
                </c:pt>
                <c:pt idx="1">
                  <c:v>0</c:v>
                </c:pt>
                <c:pt idx="2">
                  <c:v>0</c:v>
                </c:pt>
                <c:pt idx="3">
                  <c:v>0.11189223032972664</c:v>
                </c:pt>
                <c:pt idx="4">
                  <c:v>0.20769234703794784</c:v>
                </c:pt>
                <c:pt idx="5">
                  <c:v>0.36692251084024308</c:v>
                </c:pt>
                <c:pt idx="6">
                  <c:v>0.36694512454782391</c:v>
                </c:pt>
                <c:pt idx="7">
                  <c:v>0.25975073086575551</c:v>
                </c:pt>
                <c:pt idx="8">
                  <c:v>0.15219951738937071</c:v>
                </c:pt>
                <c:pt idx="9">
                  <c:v>0.15203158087880214</c:v>
                </c:pt>
                <c:pt idx="10">
                  <c:v>0.15156915873227311</c:v>
                </c:pt>
                <c:pt idx="11">
                  <c:v>0.14555831757704618</c:v>
                </c:pt>
                <c:pt idx="12">
                  <c:v>0.13659188833722172</c:v>
                </c:pt>
                <c:pt idx="13">
                  <c:v>0.12582884193381841</c:v>
                </c:pt>
                <c:pt idx="14">
                  <c:v>0.11618342686270389</c:v>
                </c:pt>
                <c:pt idx="15">
                  <c:v>0.10697990626937549</c:v>
                </c:pt>
                <c:pt idx="16">
                  <c:v>9.8693398413498848E-2</c:v>
                </c:pt>
                <c:pt idx="17">
                  <c:v>9.0782538733331503E-2</c:v>
                </c:pt>
                <c:pt idx="18">
                  <c:v>2.4684970260356955E-2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0-50EC-426D-A731-EEB9364C4AD1}"/>
            </c:ext>
          </c:extLst>
        </c:ser>
        <c:ser>
          <c:idx val="1"/>
          <c:order val="1"/>
          <c:tx>
            <c:strRef>
              <c:f>'Revenue projections'!$C$73</c:f>
              <c:strCache>
                <c:ptCount val="1"/>
                <c:pt idx="0">
                  <c:v>APS</c:v>
                </c:pt>
              </c:strCache>
            </c:strRef>
          </c:tx>
          <c:spPr>
            <a:ln w="28575" cap="rnd">
              <a:solidFill>
                <a:schemeClr val="accent2"/>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projections'!$D$73:$AP$73</c:f>
              <c:numCache>
                <c:formatCode>_-* #,##0_-;\-* #,##0_-;_-* "-"??_-;_-@_-</c:formatCode>
                <c:ptCount val="39"/>
                <c:pt idx="0">
                  <c:v>0</c:v>
                </c:pt>
                <c:pt idx="1">
                  <c:v>0</c:v>
                </c:pt>
                <c:pt idx="2">
                  <c:v>0</c:v>
                </c:pt>
                <c:pt idx="3">
                  <c:v>0.64334824744997743</c:v>
                </c:pt>
                <c:pt idx="4">
                  <c:v>1.4097263928858477</c:v>
                </c:pt>
                <c:pt idx="5">
                  <c:v>2.5752870873831135</c:v>
                </c:pt>
                <c:pt idx="6">
                  <c:v>2.7404263685865198</c:v>
                </c:pt>
                <c:pt idx="7">
                  <c:v>3.0714773833611408</c:v>
                </c:pt>
                <c:pt idx="8">
                  <c:v>3.1253068166578295</c:v>
                </c:pt>
                <c:pt idx="9">
                  <c:v>3.2576484477872474</c:v>
                </c:pt>
                <c:pt idx="10">
                  <c:v>3.933940394553904</c:v>
                </c:pt>
                <c:pt idx="11">
                  <c:v>4.0273154917982792</c:v>
                </c:pt>
                <c:pt idx="12">
                  <c:v>4.0086691527850791</c:v>
                </c:pt>
                <c:pt idx="13">
                  <c:v>3.8193831478423323</c:v>
                </c:pt>
                <c:pt idx="14">
                  <c:v>3.6270073718579288</c:v>
                </c:pt>
                <c:pt idx="15">
                  <c:v>3.4342212854682597</c:v>
                </c:pt>
                <c:pt idx="16">
                  <c:v>3.2431821397169287</c:v>
                </c:pt>
                <c:pt idx="17">
                  <c:v>3.0556042850917855</c:v>
                </c:pt>
                <c:pt idx="18">
                  <c:v>2.9099032147057939</c:v>
                </c:pt>
                <c:pt idx="19">
                  <c:v>2.7625876516239991</c:v>
                </c:pt>
                <c:pt idx="20">
                  <c:v>2.6155554100421865</c:v>
                </c:pt>
                <c:pt idx="21">
                  <c:v>2.4703284272693642</c:v>
                </c:pt>
                <c:pt idx="22">
                  <c:v>2.3281101593688009</c:v>
                </c:pt>
                <c:pt idx="23">
                  <c:v>2.1898351393410382</c:v>
                </c:pt>
                <c:pt idx="24">
                  <c:v>2.0562117030334344</c:v>
                </c:pt>
                <c:pt idx="25">
                  <c:v>1.9277587641263378</c:v>
                </c:pt>
                <c:pt idx="26">
                  <c:v>1.8048374105455107</c:v>
                </c:pt>
                <c:pt idx="27">
                  <c:v>1.6876779987429493</c:v>
                </c:pt>
                <c:pt idx="28">
                  <c:v>1.5764033379348417</c:v>
                </c:pt>
                <c:pt idx="29">
                  <c:v>1.4578313642354073</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50EC-426D-A731-EEB9364C4AD1}"/>
            </c:ext>
          </c:extLst>
        </c:ser>
        <c:ser>
          <c:idx val="2"/>
          <c:order val="2"/>
          <c:tx>
            <c:strRef>
              <c:f>'Revenue projections'!$C$74</c:f>
              <c:strCache>
                <c:ptCount val="1"/>
                <c:pt idx="0">
                  <c:v>OPEC</c:v>
                </c:pt>
              </c:strCache>
            </c:strRef>
          </c:tx>
          <c:spPr>
            <a:ln w="28575" cap="rnd">
              <a:solidFill>
                <a:schemeClr val="accent3"/>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projections'!$D$74:$AP$74</c:f>
              <c:numCache>
                <c:formatCode>_-* #,##0_-;\-* #,##0_-;_-* "-"??_-;_-@_-</c:formatCode>
                <c:ptCount val="39"/>
                <c:pt idx="0">
                  <c:v>0</c:v>
                </c:pt>
                <c:pt idx="1">
                  <c:v>0</c:v>
                </c:pt>
                <c:pt idx="2">
                  <c:v>0</c:v>
                </c:pt>
                <c:pt idx="3">
                  <c:v>0.93991968431247275</c:v>
                </c:pt>
                <c:pt idx="4">
                  <c:v>1.8395999738433293</c:v>
                </c:pt>
                <c:pt idx="5">
                  <c:v>4.059278436279496</c:v>
                </c:pt>
                <c:pt idx="6">
                  <c:v>4.0977355291624802</c:v>
                </c:pt>
                <c:pt idx="7">
                  <c:v>3.9542800894268049</c:v>
                </c:pt>
                <c:pt idx="8">
                  <c:v>3.8143235628554271</c:v>
                </c:pt>
                <c:pt idx="9">
                  <c:v>3.6777806101028574</c:v>
                </c:pt>
                <c:pt idx="10">
                  <c:v>3.5261815217356016</c:v>
                </c:pt>
                <c:pt idx="11">
                  <c:v>3.263039629571526</c:v>
                </c:pt>
                <c:pt idx="12">
                  <c:v>4.0086691527850791</c:v>
                </c:pt>
                <c:pt idx="13">
                  <c:v>3.8824453695454868</c:v>
                </c:pt>
                <c:pt idx="14">
                  <c:v>3.7403877667455423</c:v>
                </c:pt>
                <c:pt idx="15">
                  <c:v>3.8419714501988249</c:v>
                </c:pt>
                <c:pt idx="16">
                  <c:v>3.8848209968313827</c:v>
                </c:pt>
                <c:pt idx="17">
                  <c:v>3.8799673418913616</c:v>
                </c:pt>
                <c:pt idx="18">
                  <c:v>4.2075469946029935</c:v>
                </c:pt>
                <c:pt idx="19">
                  <c:v>3.892666774533641</c:v>
                </c:pt>
                <c:pt idx="20">
                  <c:v>3.5904211033397964</c:v>
                </c:pt>
                <c:pt idx="21">
                  <c:v>3.5389919216634174</c:v>
                </c:pt>
                <c:pt idx="22">
                  <c:v>3.2655965580121262</c:v>
                </c:pt>
                <c:pt idx="23">
                  <c:v>3.0140757329368979</c:v>
                </c:pt>
                <c:pt idx="24">
                  <c:v>2.9609303599071364</c:v>
                </c:pt>
                <c:pt idx="25">
                  <c:v>2.734346056065772</c:v>
                </c:pt>
                <c:pt idx="26">
                  <c:v>2.5260034695823497</c:v>
                </c:pt>
                <c:pt idx="27">
                  <c:v>2.3342337346451556</c:v>
                </c:pt>
                <c:pt idx="28">
                  <c:v>2.1578228067244285</c:v>
                </c:pt>
                <c:pt idx="29">
                  <c:v>1.9955183362060185</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2-50EC-426D-A731-EEB9364C4AD1}"/>
            </c:ext>
          </c:extLst>
        </c:ser>
        <c:dLbls>
          <c:showLegendKey val="0"/>
          <c:showVal val="0"/>
          <c:showCatName val="0"/>
          <c:showSerName val="0"/>
          <c:showPercent val="0"/>
          <c:showBubbleSize val="0"/>
        </c:dLbls>
        <c:smooth val="0"/>
        <c:axId val="1433871"/>
        <c:axId val="1443439"/>
      </c:lineChart>
      <c:catAx>
        <c:axId val="143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3439"/>
        <c:crosses val="autoZero"/>
        <c:auto val="1"/>
        <c:lblAlgn val="ctr"/>
        <c:lblOffset val="100"/>
        <c:noMultiLvlLbl val="0"/>
      </c:catAx>
      <c:valAx>
        <c:axId val="144343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Cultural</a:t>
            </a:r>
            <a:r>
              <a:rPr lang="en-US" baseline="0"/>
              <a:t> institution share of (central govt) royalty, $ millions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'Revenue projections'!$C$85</c:f>
              <c:strCache>
                <c:ptCount val="1"/>
                <c:pt idx="0">
                  <c:v>NZE</c:v>
                </c:pt>
              </c:strCache>
            </c:strRef>
          </c:tx>
          <c:spPr>
            <a:ln w="28575" cap="rnd">
              <a:solidFill>
                <a:schemeClr val="accent1"/>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projections'!$D$85:$AP$85</c:f>
              <c:numCache>
                <c:formatCode>_-* #,##0_-;\-* #,##0_-;_-* "-"??_-;_-@_-</c:formatCode>
                <c:ptCount val="39"/>
                <c:pt idx="0">
                  <c:v>0</c:v>
                </c:pt>
                <c:pt idx="1">
                  <c:v>0</c:v>
                </c:pt>
                <c:pt idx="2">
                  <c:v>0</c:v>
                </c:pt>
                <c:pt idx="3">
                  <c:v>0.10517869650994305</c:v>
                </c:pt>
                <c:pt idx="4">
                  <c:v>0.19523080621567096</c:v>
                </c:pt>
                <c:pt idx="5">
                  <c:v>0.34490716018982848</c:v>
                </c:pt>
                <c:pt idx="6">
                  <c:v>0.34492841707495447</c:v>
                </c:pt>
                <c:pt idx="7">
                  <c:v>0.2441656870138102</c:v>
                </c:pt>
                <c:pt idx="8">
                  <c:v>0.14306754634600849</c:v>
                </c:pt>
                <c:pt idx="9">
                  <c:v>0.14290968602607401</c:v>
                </c:pt>
                <c:pt idx="10">
                  <c:v>0.14247500920833672</c:v>
                </c:pt>
                <c:pt idx="11">
                  <c:v>0.13682481852242342</c:v>
                </c:pt>
                <c:pt idx="12">
                  <c:v>0.12839637503698842</c:v>
                </c:pt>
                <c:pt idx="13">
                  <c:v>0.11827911141778931</c:v>
                </c:pt>
                <c:pt idx="14">
                  <c:v>0.10921242125094166</c:v>
                </c:pt>
                <c:pt idx="15">
                  <c:v>0.10056111189321297</c:v>
                </c:pt>
                <c:pt idx="16">
                  <c:v>9.2771794508688915E-2</c:v>
                </c:pt>
                <c:pt idx="17">
                  <c:v>8.5335586409331615E-2</c:v>
                </c:pt>
                <c:pt idx="18">
                  <c:v>2.3203872044735539E-2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0-BCAD-42D1-8AA6-25A48F7C513C}"/>
            </c:ext>
          </c:extLst>
        </c:ser>
        <c:ser>
          <c:idx val="1"/>
          <c:order val="1"/>
          <c:tx>
            <c:strRef>
              <c:f>'Revenue projections'!$C$86</c:f>
              <c:strCache>
                <c:ptCount val="1"/>
                <c:pt idx="0">
                  <c:v>APS</c:v>
                </c:pt>
              </c:strCache>
            </c:strRef>
          </c:tx>
          <c:spPr>
            <a:ln w="28575" cap="rnd">
              <a:solidFill>
                <a:schemeClr val="accent2"/>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projections'!$D$86:$AP$86</c:f>
              <c:numCache>
                <c:formatCode>_-* #,##0_-;\-* #,##0_-;_-* "-"??_-;_-@_-</c:formatCode>
                <c:ptCount val="39"/>
                <c:pt idx="0">
                  <c:v>0</c:v>
                </c:pt>
                <c:pt idx="1">
                  <c:v>0</c:v>
                </c:pt>
                <c:pt idx="2">
                  <c:v>0</c:v>
                </c:pt>
                <c:pt idx="3">
                  <c:v>0.60474735260297885</c:v>
                </c:pt>
                <c:pt idx="4">
                  <c:v>1.3251428093126967</c:v>
                </c:pt>
                <c:pt idx="5">
                  <c:v>2.4207698621401268</c:v>
                </c:pt>
                <c:pt idx="6">
                  <c:v>2.5760007864713286</c:v>
                </c:pt>
                <c:pt idx="7">
                  <c:v>2.8871887403594725</c:v>
                </c:pt>
                <c:pt idx="8">
                  <c:v>2.9377884076583598</c:v>
                </c:pt>
                <c:pt idx="9">
                  <c:v>3.0621895409200128</c:v>
                </c:pt>
                <c:pt idx="10">
                  <c:v>3.6979039708806698</c:v>
                </c:pt>
                <c:pt idx="11">
                  <c:v>3.7856765622903823</c:v>
                </c:pt>
                <c:pt idx="12">
                  <c:v>3.7681490036179746</c:v>
                </c:pt>
                <c:pt idx="13">
                  <c:v>3.5902201589717926</c:v>
                </c:pt>
                <c:pt idx="14">
                  <c:v>3.4093869295464532</c:v>
                </c:pt>
                <c:pt idx="15">
                  <c:v>3.2281680083401638</c:v>
                </c:pt>
                <c:pt idx="16">
                  <c:v>3.0485912113339126</c:v>
                </c:pt>
                <c:pt idx="17">
                  <c:v>2.8722680279862787</c:v>
                </c:pt>
                <c:pt idx="18">
                  <c:v>2.7353090218234462</c:v>
                </c:pt>
                <c:pt idx="19">
                  <c:v>2.5968323925265593</c:v>
                </c:pt>
                <c:pt idx="20">
                  <c:v>2.4586220854396554</c:v>
                </c:pt>
                <c:pt idx="21">
                  <c:v>2.3221087216332021</c:v>
                </c:pt>
                <c:pt idx="22">
                  <c:v>2.1884235498066729</c:v>
                </c:pt>
                <c:pt idx="23">
                  <c:v>2.0584450309805757</c:v>
                </c:pt>
                <c:pt idx="24">
                  <c:v>1.9328390008514285</c:v>
                </c:pt>
                <c:pt idx="25">
                  <c:v>1.8120932382787576</c:v>
                </c:pt>
                <c:pt idx="26">
                  <c:v>1.6965471659127802</c:v>
                </c:pt>
                <c:pt idx="27">
                  <c:v>1.5864173188183723</c:v>
                </c:pt>
                <c:pt idx="28">
                  <c:v>1.4818191376587511</c:v>
                </c:pt>
                <c:pt idx="29">
                  <c:v>1.3703614823812829</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BCAD-42D1-8AA6-25A48F7C513C}"/>
            </c:ext>
          </c:extLst>
        </c:ser>
        <c:ser>
          <c:idx val="2"/>
          <c:order val="2"/>
          <c:tx>
            <c:strRef>
              <c:f>'Revenue projections'!$C$87</c:f>
              <c:strCache>
                <c:ptCount val="1"/>
                <c:pt idx="0">
                  <c:v>OPEC</c:v>
                </c:pt>
              </c:strCache>
            </c:strRef>
          </c:tx>
          <c:spPr>
            <a:ln w="28575" cap="rnd">
              <a:solidFill>
                <a:schemeClr val="accent3"/>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projections'!$D$87:$AP$87</c:f>
              <c:numCache>
                <c:formatCode>_-* #,##0_-;\-* #,##0_-;_-* "-"??_-;_-@_-</c:formatCode>
                <c:ptCount val="39"/>
                <c:pt idx="0">
                  <c:v>0</c:v>
                </c:pt>
                <c:pt idx="1">
                  <c:v>0</c:v>
                </c:pt>
                <c:pt idx="2">
                  <c:v>0</c:v>
                </c:pt>
                <c:pt idx="3">
                  <c:v>0.88352450325372445</c:v>
                </c:pt>
                <c:pt idx="4">
                  <c:v>1.7292239754127294</c:v>
                </c:pt>
                <c:pt idx="5">
                  <c:v>3.8157217301027262</c:v>
                </c:pt>
                <c:pt idx="6">
                  <c:v>3.8518713974127312</c:v>
                </c:pt>
                <c:pt idx="7">
                  <c:v>3.717023284061197</c:v>
                </c:pt>
                <c:pt idx="8">
                  <c:v>3.5854641490841015</c:v>
                </c:pt>
                <c:pt idx="9">
                  <c:v>3.4571137734966859</c:v>
                </c:pt>
                <c:pt idx="10">
                  <c:v>3.3146106304314653</c:v>
                </c:pt>
                <c:pt idx="11">
                  <c:v>3.0672572517972343</c:v>
                </c:pt>
                <c:pt idx="12">
                  <c:v>3.7681490036179746</c:v>
                </c:pt>
                <c:pt idx="13">
                  <c:v>3.6494986473727575</c:v>
                </c:pt>
                <c:pt idx="14">
                  <c:v>3.51596450074081</c:v>
                </c:pt>
                <c:pt idx="15">
                  <c:v>3.6114531631868956</c:v>
                </c:pt>
                <c:pt idx="16">
                  <c:v>3.6517317370214997</c:v>
                </c:pt>
                <c:pt idx="17">
                  <c:v>3.6471693013778799</c:v>
                </c:pt>
                <c:pt idx="18">
                  <c:v>3.9550941749268138</c:v>
                </c:pt>
                <c:pt idx="19">
                  <c:v>3.6591067680616227</c:v>
                </c:pt>
                <c:pt idx="20">
                  <c:v>3.3749958371394086</c:v>
                </c:pt>
                <c:pt idx="21">
                  <c:v>3.3266524063636123</c:v>
                </c:pt>
                <c:pt idx="22">
                  <c:v>3.0696607645313989</c:v>
                </c:pt>
                <c:pt idx="23">
                  <c:v>2.833231188960684</c:v>
                </c:pt>
                <c:pt idx="24">
                  <c:v>2.7832745383127082</c:v>
                </c:pt>
                <c:pt idx="25">
                  <c:v>2.5702852927018256</c:v>
                </c:pt>
                <c:pt idx="26">
                  <c:v>2.3744432614074089</c:v>
                </c:pt>
                <c:pt idx="27">
                  <c:v>2.1941797105664462</c:v>
                </c:pt>
                <c:pt idx="28">
                  <c:v>2.0283534383209627</c:v>
                </c:pt>
                <c:pt idx="29">
                  <c:v>1.8757872360336576</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2-BCAD-42D1-8AA6-25A48F7C513C}"/>
            </c:ext>
          </c:extLst>
        </c:ser>
        <c:dLbls>
          <c:showLegendKey val="0"/>
          <c:showVal val="0"/>
          <c:showCatName val="0"/>
          <c:showSerName val="0"/>
          <c:showPercent val="0"/>
          <c:showBubbleSize val="0"/>
        </c:dLbls>
        <c:smooth val="0"/>
        <c:axId val="1433871"/>
        <c:axId val="1443439"/>
      </c:lineChart>
      <c:catAx>
        <c:axId val="143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3439"/>
        <c:crosses val="autoZero"/>
        <c:auto val="1"/>
        <c:lblAlgn val="ctr"/>
        <c:lblOffset val="100"/>
        <c:noMultiLvlLbl val="0"/>
      </c:catAx>
      <c:valAx>
        <c:axId val="144343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Cultural</a:t>
            </a:r>
            <a:r>
              <a:rPr lang="en-US" baseline="0"/>
              <a:t> institution share of (gross) royalty, </a:t>
            </a:r>
          </a:p>
          <a:p>
            <a:pPr>
              <a:defRPr/>
            </a:pPr>
            <a:r>
              <a:rPr lang="en-US" baseline="0"/>
              <a:t>UGX billions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'Revenue projections'!$C$128</c:f>
              <c:strCache>
                <c:ptCount val="1"/>
                <c:pt idx="0">
                  <c:v>NZE</c:v>
                </c:pt>
              </c:strCache>
            </c:strRef>
          </c:tx>
          <c:spPr>
            <a:ln w="28575" cap="rnd">
              <a:solidFill>
                <a:schemeClr val="accent1"/>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projections'!$D$128:$AP$128</c:f>
              <c:numCache>
                <c:formatCode>_-* #,##0_-;\-* #,##0_-;_-* "-"??_-;_-@_-</c:formatCode>
                <c:ptCount val="39"/>
                <c:pt idx="0">
                  <c:v>0</c:v>
                </c:pt>
                <c:pt idx="1">
                  <c:v>0</c:v>
                </c:pt>
                <c:pt idx="2">
                  <c:v>0</c:v>
                </c:pt>
                <c:pt idx="3">
                  <c:v>0.40281202918701592</c:v>
                </c:pt>
                <c:pt idx="4">
                  <c:v>0.74769244933661216</c:v>
                </c:pt>
                <c:pt idx="5">
                  <c:v>1.3209210390248749</c:v>
                </c:pt>
                <c:pt idx="6">
                  <c:v>1.3210024483721661</c:v>
                </c:pt>
                <c:pt idx="7">
                  <c:v>0.93510263111671987</c:v>
                </c:pt>
                <c:pt idx="8">
                  <c:v>0.5479182626017346</c:v>
                </c:pt>
                <c:pt idx="9">
                  <c:v>0.54731369116368778</c:v>
                </c:pt>
                <c:pt idx="10">
                  <c:v>0.54564897143618318</c:v>
                </c:pt>
                <c:pt idx="11">
                  <c:v>0.52400994327736627</c:v>
                </c:pt>
                <c:pt idx="12">
                  <c:v>0.49173079801399822</c:v>
                </c:pt>
                <c:pt idx="13">
                  <c:v>0.45298383096174627</c:v>
                </c:pt>
                <c:pt idx="14">
                  <c:v>0.41826033670573398</c:v>
                </c:pt>
                <c:pt idx="15">
                  <c:v>0.38512766256975178</c:v>
                </c:pt>
                <c:pt idx="16">
                  <c:v>0.3552962342885958</c:v>
                </c:pt>
                <c:pt idx="17">
                  <c:v>0.32681713943999341</c:v>
                </c:pt>
                <c:pt idx="18">
                  <c:v>8.8865892937285043E-2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0-CC03-449B-9A9A-A1FABB3627E9}"/>
            </c:ext>
          </c:extLst>
        </c:ser>
        <c:ser>
          <c:idx val="1"/>
          <c:order val="1"/>
          <c:tx>
            <c:strRef>
              <c:f>'Revenue projections'!$C$129</c:f>
              <c:strCache>
                <c:ptCount val="1"/>
                <c:pt idx="0">
                  <c:v>APS</c:v>
                </c:pt>
              </c:strCache>
            </c:strRef>
          </c:tx>
          <c:spPr>
            <a:ln w="28575" cap="rnd">
              <a:solidFill>
                <a:schemeClr val="accent2"/>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projections'!$D$129:$AP$129</c:f>
              <c:numCache>
                <c:formatCode>_-* #,##0_-;\-* #,##0_-;_-* "-"??_-;_-@_-</c:formatCode>
                <c:ptCount val="39"/>
                <c:pt idx="0">
                  <c:v>0</c:v>
                </c:pt>
                <c:pt idx="1">
                  <c:v>0</c:v>
                </c:pt>
                <c:pt idx="2">
                  <c:v>0</c:v>
                </c:pt>
                <c:pt idx="3">
                  <c:v>2.3160536908199187</c:v>
                </c:pt>
                <c:pt idx="4">
                  <c:v>5.0750150143890513</c:v>
                </c:pt>
                <c:pt idx="5">
                  <c:v>9.2710335145792087</c:v>
                </c:pt>
                <c:pt idx="6">
                  <c:v>9.8655349269114705</c:v>
                </c:pt>
                <c:pt idx="7">
                  <c:v>11.057318580100107</c:v>
                </c:pt>
                <c:pt idx="8">
                  <c:v>11.251104539968185</c:v>
                </c:pt>
                <c:pt idx="9">
                  <c:v>11.727534412034091</c:v>
                </c:pt>
                <c:pt idx="10">
                  <c:v>14.162185420394055</c:v>
                </c:pt>
                <c:pt idx="11">
                  <c:v>14.498335770473805</c:v>
                </c:pt>
                <c:pt idx="12">
                  <c:v>14.431208950026285</c:v>
                </c:pt>
                <c:pt idx="13">
                  <c:v>13.749779332232396</c:v>
                </c:pt>
                <c:pt idx="14">
                  <c:v>13.057226538688543</c:v>
                </c:pt>
                <c:pt idx="15">
                  <c:v>12.363196627685735</c:v>
                </c:pt>
                <c:pt idx="16">
                  <c:v>11.675455702980944</c:v>
                </c:pt>
                <c:pt idx="17">
                  <c:v>11.000175426330427</c:v>
                </c:pt>
                <c:pt idx="18">
                  <c:v>10.475651572940858</c:v>
                </c:pt>
                <c:pt idx="19">
                  <c:v>9.9453155458463964</c:v>
                </c:pt>
                <c:pt idx="20">
                  <c:v>9.4159994761518711</c:v>
                </c:pt>
                <c:pt idx="21">
                  <c:v>8.8931823381697104</c:v>
                </c:pt>
                <c:pt idx="22">
                  <c:v>8.381196573727685</c:v>
                </c:pt>
                <c:pt idx="23">
                  <c:v>7.8834065016277375</c:v>
                </c:pt>
                <c:pt idx="24">
                  <c:v>7.4023621309203635</c:v>
                </c:pt>
                <c:pt idx="25">
                  <c:v>6.9399315508548165</c:v>
                </c:pt>
                <c:pt idx="26">
                  <c:v>6.4974146779638389</c:v>
                </c:pt>
                <c:pt idx="27">
                  <c:v>6.0756407954746177</c:v>
                </c:pt>
                <c:pt idx="28">
                  <c:v>5.6750520165654299</c:v>
                </c:pt>
                <c:pt idx="29">
                  <c:v>5.2481929112474663</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CC03-449B-9A9A-A1FABB3627E9}"/>
            </c:ext>
          </c:extLst>
        </c:ser>
        <c:ser>
          <c:idx val="2"/>
          <c:order val="2"/>
          <c:tx>
            <c:strRef>
              <c:f>'Revenue projections'!$C$130</c:f>
              <c:strCache>
                <c:ptCount val="1"/>
                <c:pt idx="0">
                  <c:v>OPEC</c:v>
                </c:pt>
              </c:strCache>
            </c:strRef>
          </c:tx>
          <c:spPr>
            <a:ln w="28575" cap="rnd">
              <a:solidFill>
                <a:schemeClr val="accent3"/>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projections'!$D$130:$AP$130</c:f>
              <c:numCache>
                <c:formatCode>_-* #,##0_-;\-* #,##0_-;_-* "-"??_-;_-@_-</c:formatCode>
                <c:ptCount val="39"/>
                <c:pt idx="0">
                  <c:v>0</c:v>
                </c:pt>
                <c:pt idx="1">
                  <c:v>0</c:v>
                </c:pt>
                <c:pt idx="2">
                  <c:v>0</c:v>
                </c:pt>
                <c:pt idx="3">
                  <c:v>3.383710863524902</c:v>
                </c:pt>
                <c:pt idx="4">
                  <c:v>6.6225599058359856</c:v>
                </c:pt>
                <c:pt idx="5">
                  <c:v>14.613402370606185</c:v>
                </c:pt>
                <c:pt idx="6">
                  <c:v>14.751847904984928</c:v>
                </c:pt>
                <c:pt idx="7">
                  <c:v>14.235408321936498</c:v>
                </c:pt>
                <c:pt idx="8">
                  <c:v>13.731564826279536</c:v>
                </c:pt>
                <c:pt idx="9">
                  <c:v>13.240010196370287</c:v>
                </c:pt>
                <c:pt idx="10">
                  <c:v>12.694253478248164</c:v>
                </c:pt>
                <c:pt idx="11">
                  <c:v>11.746942666457493</c:v>
                </c:pt>
                <c:pt idx="12">
                  <c:v>14.431208950026285</c:v>
                </c:pt>
                <c:pt idx="13">
                  <c:v>13.976803330363753</c:v>
                </c:pt>
                <c:pt idx="14">
                  <c:v>13.465395960283953</c:v>
                </c:pt>
                <c:pt idx="15">
                  <c:v>13.831097220715771</c:v>
                </c:pt>
                <c:pt idx="16">
                  <c:v>13.985355588592979</c:v>
                </c:pt>
                <c:pt idx="17">
                  <c:v>13.967882430808903</c:v>
                </c:pt>
                <c:pt idx="18">
                  <c:v>15.147169180570776</c:v>
                </c:pt>
                <c:pt idx="19">
                  <c:v>14.013600388321107</c:v>
                </c:pt>
                <c:pt idx="20">
                  <c:v>12.925515972023268</c:v>
                </c:pt>
                <c:pt idx="21">
                  <c:v>12.740370917988303</c:v>
                </c:pt>
                <c:pt idx="22">
                  <c:v>11.756147608843653</c:v>
                </c:pt>
                <c:pt idx="23">
                  <c:v>10.850672638572833</c:v>
                </c:pt>
                <c:pt idx="24">
                  <c:v>10.65934929566569</c:v>
                </c:pt>
                <c:pt idx="25">
                  <c:v>9.8436458018367787</c:v>
                </c:pt>
                <c:pt idx="26">
                  <c:v>9.0936124904964579</c:v>
                </c:pt>
                <c:pt idx="27">
                  <c:v>8.4032414447225605</c:v>
                </c:pt>
                <c:pt idx="28">
                  <c:v>7.7681621042079421</c:v>
                </c:pt>
                <c:pt idx="29">
                  <c:v>7.1838660103416672</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2-CC03-449B-9A9A-A1FABB3627E9}"/>
            </c:ext>
          </c:extLst>
        </c:ser>
        <c:dLbls>
          <c:showLegendKey val="0"/>
          <c:showVal val="0"/>
          <c:showCatName val="0"/>
          <c:showSerName val="0"/>
          <c:showPercent val="0"/>
          <c:showBubbleSize val="0"/>
        </c:dLbls>
        <c:smooth val="0"/>
        <c:axId val="1433871"/>
        <c:axId val="1443439"/>
      </c:lineChart>
      <c:catAx>
        <c:axId val="143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3439"/>
        <c:crosses val="autoZero"/>
        <c:auto val="1"/>
        <c:lblAlgn val="ctr"/>
        <c:lblOffset val="100"/>
        <c:noMultiLvlLbl val="0"/>
      </c:catAx>
      <c:valAx>
        <c:axId val="1443439"/>
        <c:scaling>
          <c:orientation val="minMax"/>
          <c:max val="16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Cultural</a:t>
            </a:r>
            <a:r>
              <a:rPr lang="en-US" baseline="0"/>
              <a:t> institution share of (central govt) royalty, UGX billions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'Revenue projections'!$C$141</c:f>
              <c:strCache>
                <c:ptCount val="1"/>
                <c:pt idx="0">
                  <c:v>NZE</c:v>
                </c:pt>
              </c:strCache>
            </c:strRef>
          </c:tx>
          <c:spPr>
            <a:ln w="28575" cap="rnd">
              <a:solidFill>
                <a:schemeClr val="accent1"/>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projections'!$D$141:$AP$141</c:f>
              <c:numCache>
                <c:formatCode>_-* #,##0_-;\-* #,##0_-;_-* "-"??_-;_-@_-</c:formatCode>
                <c:ptCount val="39"/>
                <c:pt idx="0">
                  <c:v>0</c:v>
                </c:pt>
                <c:pt idx="1">
                  <c:v>0</c:v>
                </c:pt>
                <c:pt idx="2">
                  <c:v>0</c:v>
                </c:pt>
                <c:pt idx="3">
                  <c:v>0.37864330743579494</c:v>
                </c:pt>
                <c:pt idx="4">
                  <c:v>0.70283090237641543</c:v>
                </c:pt>
                <c:pt idx="5">
                  <c:v>1.2416657766833825</c:v>
                </c:pt>
                <c:pt idx="6">
                  <c:v>1.2417423014698361</c:v>
                </c:pt>
                <c:pt idx="7">
                  <c:v>0.87899647324971675</c:v>
                </c:pt>
                <c:pt idx="8">
                  <c:v>0.51504316684563056</c:v>
                </c:pt>
                <c:pt idx="9">
                  <c:v>0.51447486969386647</c:v>
                </c:pt>
                <c:pt idx="10">
                  <c:v>0.51291003315001216</c:v>
                </c:pt>
                <c:pt idx="11">
                  <c:v>0.49256934668072433</c:v>
                </c:pt>
                <c:pt idx="12">
                  <c:v>0.46222695013315829</c:v>
                </c:pt>
                <c:pt idx="13">
                  <c:v>0.42580480110404151</c:v>
                </c:pt>
                <c:pt idx="14">
                  <c:v>0.39316471650338997</c:v>
                </c:pt>
                <c:pt idx="15">
                  <c:v>0.36202000281556668</c:v>
                </c:pt>
                <c:pt idx="16">
                  <c:v>0.33397846023128008</c:v>
                </c:pt>
                <c:pt idx="17">
                  <c:v>0.30720811107359386</c:v>
                </c:pt>
                <c:pt idx="18">
                  <c:v>8.3533939361047943E-2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0-D720-4FC7-9DCF-262B2EED9B54}"/>
            </c:ext>
          </c:extLst>
        </c:ser>
        <c:ser>
          <c:idx val="1"/>
          <c:order val="1"/>
          <c:tx>
            <c:strRef>
              <c:f>'Revenue projections'!$C$142</c:f>
              <c:strCache>
                <c:ptCount val="1"/>
                <c:pt idx="0">
                  <c:v>APS</c:v>
                </c:pt>
              </c:strCache>
            </c:strRef>
          </c:tx>
          <c:spPr>
            <a:ln w="28575" cap="rnd">
              <a:solidFill>
                <a:schemeClr val="accent2"/>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projections'!$D$142:$AP$142</c:f>
              <c:numCache>
                <c:formatCode>_-* #,##0_-;\-* #,##0_-;_-* "-"??_-;_-@_-</c:formatCode>
                <c:ptCount val="39"/>
                <c:pt idx="0">
                  <c:v>0</c:v>
                </c:pt>
                <c:pt idx="1">
                  <c:v>0</c:v>
                </c:pt>
                <c:pt idx="2">
                  <c:v>0</c:v>
                </c:pt>
                <c:pt idx="3">
                  <c:v>2.1770904693707238</c:v>
                </c:pt>
                <c:pt idx="4">
                  <c:v>4.7705141135257083</c:v>
                </c:pt>
                <c:pt idx="5">
                  <c:v>8.7147715037044566</c:v>
                </c:pt>
                <c:pt idx="6">
                  <c:v>9.2736028312967829</c:v>
                </c:pt>
                <c:pt idx="7">
                  <c:v>10.393879465294102</c:v>
                </c:pt>
                <c:pt idx="8">
                  <c:v>10.576038267570095</c:v>
                </c:pt>
                <c:pt idx="9">
                  <c:v>11.023882347312046</c:v>
                </c:pt>
                <c:pt idx="10">
                  <c:v>13.312454295170411</c:v>
                </c:pt>
                <c:pt idx="11">
                  <c:v>13.628435624245377</c:v>
                </c:pt>
                <c:pt idx="12">
                  <c:v>13.565336413024708</c:v>
                </c:pt>
                <c:pt idx="13">
                  <c:v>12.924792572298452</c:v>
                </c:pt>
                <c:pt idx="14">
                  <c:v>12.273792946367232</c:v>
                </c:pt>
                <c:pt idx="15">
                  <c:v>11.62140483002459</c:v>
                </c:pt>
                <c:pt idx="16">
                  <c:v>10.974928360802085</c:v>
                </c:pt>
                <c:pt idx="17">
                  <c:v>10.340164900750604</c:v>
                </c:pt>
                <c:pt idx="18">
                  <c:v>9.8471124785644069</c:v>
                </c:pt>
                <c:pt idx="19">
                  <c:v>9.3485966130956122</c:v>
                </c:pt>
                <c:pt idx="20">
                  <c:v>8.8510395075827599</c:v>
                </c:pt>
                <c:pt idx="21">
                  <c:v>8.3595913978795267</c:v>
                </c:pt>
                <c:pt idx="22">
                  <c:v>7.8783247793040223</c:v>
                </c:pt>
                <c:pt idx="23">
                  <c:v>7.4104021115300727</c:v>
                </c:pt>
                <c:pt idx="24">
                  <c:v>6.9582204030651429</c:v>
                </c:pt>
                <c:pt idx="25">
                  <c:v>6.5235356578035271</c:v>
                </c:pt>
                <c:pt idx="26">
                  <c:v>6.1075697972860086</c:v>
                </c:pt>
                <c:pt idx="27">
                  <c:v>5.7111023477461407</c:v>
                </c:pt>
                <c:pt idx="28">
                  <c:v>5.3345488955715039</c:v>
                </c:pt>
                <c:pt idx="29">
                  <c:v>4.9333013365726179</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D720-4FC7-9DCF-262B2EED9B54}"/>
            </c:ext>
          </c:extLst>
        </c:ser>
        <c:ser>
          <c:idx val="2"/>
          <c:order val="2"/>
          <c:tx>
            <c:strRef>
              <c:f>'Revenue projections'!$C$143</c:f>
              <c:strCache>
                <c:ptCount val="1"/>
                <c:pt idx="0">
                  <c:v>OPEC</c:v>
                </c:pt>
              </c:strCache>
            </c:strRef>
          </c:tx>
          <c:spPr>
            <a:ln w="28575" cap="rnd">
              <a:solidFill>
                <a:schemeClr val="accent3"/>
              </a:solidFill>
              <a:round/>
            </a:ln>
            <a:effectLst/>
          </c:spPr>
          <c:marker>
            <c:symbol val="none"/>
          </c:marker>
          <c:cat>
            <c:numRef>
              <c:f>'Revenue projections'!$D$1:$AP$1</c:f>
              <c:numCache>
                <c:formatCode>General</c:formatCode>
                <c:ptCount val="3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numCache>
            </c:numRef>
          </c:cat>
          <c:val>
            <c:numRef>
              <c:f>'Revenue projections'!$D$143:$AP$143</c:f>
              <c:numCache>
                <c:formatCode>_-* #,##0_-;\-* #,##0_-;_-* "-"??_-;_-@_-</c:formatCode>
                <c:ptCount val="39"/>
                <c:pt idx="0">
                  <c:v>0</c:v>
                </c:pt>
                <c:pt idx="1">
                  <c:v>0</c:v>
                </c:pt>
                <c:pt idx="2">
                  <c:v>0</c:v>
                </c:pt>
                <c:pt idx="3">
                  <c:v>3.1806882117134081</c:v>
                </c:pt>
                <c:pt idx="4">
                  <c:v>6.2252063114858256</c:v>
                </c:pt>
                <c:pt idx="5">
                  <c:v>13.736598228369814</c:v>
                </c:pt>
                <c:pt idx="6">
                  <c:v>13.866737030685831</c:v>
                </c:pt>
                <c:pt idx="7">
                  <c:v>13.381283822620309</c:v>
                </c:pt>
                <c:pt idx="8">
                  <c:v>12.907670936702765</c:v>
                </c:pt>
                <c:pt idx="9">
                  <c:v>12.44560958458807</c:v>
                </c:pt>
                <c:pt idx="10">
                  <c:v>11.932598269553274</c:v>
                </c:pt>
                <c:pt idx="11">
                  <c:v>11.042126106470043</c:v>
                </c:pt>
                <c:pt idx="12">
                  <c:v>13.565336413024708</c:v>
                </c:pt>
                <c:pt idx="13">
                  <c:v>13.138195130541927</c:v>
                </c:pt>
                <c:pt idx="14">
                  <c:v>12.657472202666916</c:v>
                </c:pt>
                <c:pt idx="15">
                  <c:v>13.001231387472824</c:v>
                </c:pt>
                <c:pt idx="16">
                  <c:v>13.146234253277399</c:v>
                </c:pt>
                <c:pt idx="17">
                  <c:v>13.129809484960367</c:v>
                </c:pt>
                <c:pt idx="18">
                  <c:v>14.23833902973653</c:v>
                </c:pt>
                <c:pt idx="19">
                  <c:v>13.172784365021842</c:v>
                </c:pt>
                <c:pt idx="20">
                  <c:v>12.149985013701871</c:v>
                </c:pt>
                <c:pt idx="21">
                  <c:v>11.975948662909005</c:v>
                </c:pt>
                <c:pt idx="22">
                  <c:v>11.050778752313036</c:v>
                </c:pt>
                <c:pt idx="23">
                  <c:v>10.199632280258461</c:v>
                </c:pt>
                <c:pt idx="24">
                  <c:v>10.01978833792575</c:v>
                </c:pt>
                <c:pt idx="25">
                  <c:v>9.2530270537265711</c:v>
                </c:pt>
                <c:pt idx="26">
                  <c:v>8.5479957410666714</c:v>
                </c:pt>
                <c:pt idx="27">
                  <c:v>7.8990469580392064</c:v>
                </c:pt>
                <c:pt idx="28">
                  <c:v>7.3020723779554659</c:v>
                </c:pt>
                <c:pt idx="29">
                  <c:v>6.7528340497211676</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2-D720-4FC7-9DCF-262B2EED9B54}"/>
            </c:ext>
          </c:extLst>
        </c:ser>
        <c:dLbls>
          <c:showLegendKey val="0"/>
          <c:showVal val="0"/>
          <c:showCatName val="0"/>
          <c:showSerName val="0"/>
          <c:showPercent val="0"/>
          <c:showBubbleSize val="0"/>
        </c:dLbls>
        <c:smooth val="0"/>
        <c:axId val="1433871"/>
        <c:axId val="1443439"/>
      </c:lineChart>
      <c:catAx>
        <c:axId val="143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3439"/>
        <c:crosses val="autoZero"/>
        <c:auto val="1"/>
        <c:lblAlgn val="ctr"/>
        <c:lblOffset val="100"/>
        <c:noMultiLvlLbl val="0"/>
      </c:catAx>
      <c:valAx>
        <c:axId val="1443439"/>
        <c:scaling>
          <c:orientation val="minMax"/>
          <c:max val="16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Share of royalties, USD millions</a:t>
            </a:r>
          </a:p>
        </c:rich>
      </c:tx>
      <c:overlay val="0"/>
      <c:spPr>
        <a:noFill/>
        <a:ln w="25400">
          <a:noFill/>
        </a:ln>
      </c:spPr>
    </c:title>
    <c:autoTitleDeleted val="0"/>
    <c:plotArea>
      <c:layout>
        <c:manualLayout>
          <c:layoutTarget val="inner"/>
          <c:xMode val="edge"/>
          <c:yMode val="edge"/>
          <c:x val="5.0889880803116169E-2"/>
          <c:y val="0.12218637992831542"/>
          <c:w val="0.92575555444104518"/>
          <c:h val="0.63992154206530638"/>
        </c:manualLayout>
      </c:layout>
      <c:barChart>
        <c:barDir val="col"/>
        <c:grouping val="clustered"/>
        <c:varyColors val="0"/>
        <c:ser>
          <c:idx val="0"/>
          <c:order val="0"/>
          <c:spPr>
            <a:solidFill>
              <a:srgbClr val="5B9BD5"/>
            </a:solidFill>
            <a:ln w="25400">
              <a:noFill/>
            </a:ln>
          </c:spPr>
          <c:invertIfNegative val="0"/>
          <c:cat>
            <c:strRef>
              <c:f>'SN distribution'!$B$13:$B$46</c:f>
              <c:strCache>
                <c:ptCount val="34"/>
                <c:pt idx="0">
                  <c:v>Adjumani</c:v>
                </c:pt>
                <c:pt idx="1">
                  <c:v>Amuru</c:v>
                </c:pt>
                <c:pt idx="2">
                  <c:v>Arua</c:v>
                </c:pt>
                <c:pt idx="3">
                  <c:v>Buhweju</c:v>
                </c:pt>
                <c:pt idx="4">
                  <c:v>Buliisa</c:v>
                </c:pt>
                <c:pt idx="5">
                  <c:v>Bundibugyo</c:v>
                </c:pt>
                <c:pt idx="6">
                  <c:v>Bunyangabu</c:v>
                </c:pt>
                <c:pt idx="7">
                  <c:v>Bushenyi</c:v>
                </c:pt>
                <c:pt idx="8">
                  <c:v>Hoima</c:v>
                </c:pt>
                <c:pt idx="9">
                  <c:v>Hoima City</c:v>
                </c:pt>
                <c:pt idx="10">
                  <c:v>Ibanda</c:v>
                </c:pt>
                <c:pt idx="11">
                  <c:v>Kabarole</c:v>
                </c:pt>
                <c:pt idx="12">
                  <c:v>Kagadi</c:v>
                </c:pt>
                <c:pt idx="13">
                  <c:v>Kakumiro</c:v>
                </c:pt>
                <c:pt idx="14">
                  <c:v>Kamwenge</c:v>
                </c:pt>
                <c:pt idx="15">
                  <c:v>Kanungu</c:v>
                </c:pt>
                <c:pt idx="16">
                  <c:v>Kasese</c:v>
                </c:pt>
                <c:pt idx="17">
                  <c:v>Kibaale</c:v>
                </c:pt>
                <c:pt idx="18">
                  <c:v>Kikuube</c:v>
                </c:pt>
                <c:pt idx="19">
                  <c:v>Kiryadongo</c:v>
                </c:pt>
                <c:pt idx="20">
                  <c:v>Kitagwende</c:v>
                </c:pt>
                <c:pt idx="21">
                  <c:v>Kyenjojo</c:v>
                </c:pt>
                <c:pt idx="22">
                  <c:v>Maracha</c:v>
                </c:pt>
                <c:pt idx="23">
                  <c:v>Masindi</c:v>
                </c:pt>
                <c:pt idx="24">
                  <c:v>Mitooma</c:v>
                </c:pt>
                <c:pt idx="25">
                  <c:v>Moyo</c:v>
                </c:pt>
                <c:pt idx="26">
                  <c:v>Nebbi</c:v>
                </c:pt>
                <c:pt idx="27">
                  <c:v>Ntoroko</c:v>
                </c:pt>
                <c:pt idx="28">
                  <c:v>Nwoya</c:v>
                </c:pt>
                <c:pt idx="29">
                  <c:v>Obongi</c:v>
                </c:pt>
                <c:pt idx="30">
                  <c:v>Rubirizi</c:v>
                </c:pt>
                <c:pt idx="31">
                  <c:v>Rukungiri</c:v>
                </c:pt>
                <c:pt idx="32">
                  <c:v>Terego</c:v>
                </c:pt>
                <c:pt idx="33">
                  <c:v>Yumbe</c:v>
                </c:pt>
              </c:strCache>
            </c:strRef>
          </c:cat>
          <c:val>
            <c:numRef>
              <c:f>'SN distribution'!$O$13:$O$46</c:f>
              <c:numCache>
                <c:formatCode>0.0</c:formatCode>
                <c:ptCount val="34"/>
                <c:pt idx="0">
                  <c:v>0.27779777060470967</c:v>
                </c:pt>
                <c:pt idx="1">
                  <c:v>0.31133634533482368</c:v>
                </c:pt>
                <c:pt idx="2">
                  <c:v>0.26464247534967272</c:v>
                </c:pt>
                <c:pt idx="3">
                  <c:v>0.10675748079912104</c:v>
                </c:pt>
                <c:pt idx="4">
                  <c:v>3.3881503694798663</c:v>
                </c:pt>
                <c:pt idx="5">
                  <c:v>0.16275683556125137</c:v>
                </c:pt>
                <c:pt idx="6">
                  <c:v>0.11173094501205667</c:v>
                </c:pt>
                <c:pt idx="7">
                  <c:v>0.15236709244303684</c:v>
                </c:pt>
                <c:pt idx="8">
                  <c:v>0.5368724952675088</c:v>
                </c:pt>
                <c:pt idx="9">
                  <c:v>0.51288765200599107</c:v>
                </c:pt>
                <c:pt idx="10">
                  <c:v>0.1735882004426148</c:v>
                </c:pt>
                <c:pt idx="11">
                  <c:v>0.20337288557044447</c:v>
                </c:pt>
                <c:pt idx="12">
                  <c:v>0.19209644068040924</c:v>
                </c:pt>
                <c:pt idx="13">
                  <c:v>0.32510065155435464</c:v>
                </c:pt>
                <c:pt idx="14">
                  <c:v>0.24724424011289114</c:v>
                </c:pt>
                <c:pt idx="15">
                  <c:v>0.19182494311176854</c:v>
                </c:pt>
                <c:pt idx="16">
                  <c:v>0.51025215201373852</c:v>
                </c:pt>
                <c:pt idx="17">
                  <c:v>0.34888534315703262</c:v>
                </c:pt>
                <c:pt idx="18">
                  <c:v>0.61964424653991501</c:v>
                </c:pt>
                <c:pt idx="19">
                  <c:v>0.35472343183228161</c:v>
                </c:pt>
                <c:pt idx="20">
                  <c:v>0.12008001098664912</c:v>
                </c:pt>
                <c:pt idx="21">
                  <c:v>0.36967347781783499</c:v>
                </c:pt>
                <c:pt idx="22">
                  <c:v>0.18263267418559836</c:v>
                </c:pt>
                <c:pt idx="23">
                  <c:v>0.38454707453000275</c:v>
                </c:pt>
                <c:pt idx="24">
                  <c:v>0.11193408336587382</c:v>
                </c:pt>
                <c:pt idx="25">
                  <c:v>0.1624969518765727</c:v>
                </c:pt>
                <c:pt idx="26">
                  <c:v>0.23656893410380822</c:v>
                </c:pt>
                <c:pt idx="27">
                  <c:v>0.44111617564487354</c:v>
                </c:pt>
                <c:pt idx="28">
                  <c:v>3.6517906493991754</c:v>
                </c:pt>
                <c:pt idx="29">
                  <c:v>8.1978254744873566E-2</c:v>
                </c:pt>
                <c:pt idx="30">
                  <c:v>0.12654601324527415</c:v>
                </c:pt>
                <c:pt idx="31">
                  <c:v>0.2233632322814661</c:v>
                </c:pt>
                <c:pt idx="32">
                  <c:v>0.16542841485693766</c:v>
                </c:pt>
                <c:pt idx="33">
                  <c:v>0.43565099014334585</c:v>
                </c:pt>
              </c:numCache>
            </c:numRef>
          </c:val>
          <c:extLst>
            <c:ext xmlns:c16="http://schemas.microsoft.com/office/drawing/2014/chart" uri="{C3380CC4-5D6E-409C-BE32-E72D297353CC}">
              <c16:uniqueId val="{00000000-C5F7-4CE3-BB09-A3801460CE44}"/>
            </c:ext>
          </c:extLst>
        </c:ser>
        <c:dLbls>
          <c:showLegendKey val="0"/>
          <c:showVal val="0"/>
          <c:showCatName val="0"/>
          <c:showSerName val="0"/>
          <c:showPercent val="0"/>
          <c:showBubbleSize val="0"/>
        </c:dLbls>
        <c:gapWidth val="219"/>
        <c:overlap val="-27"/>
        <c:axId val="19240431"/>
        <c:axId val="1"/>
      </c:barChart>
      <c:catAx>
        <c:axId val="1924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043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Share of royalties, UGX billions</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'SN distribution'!$B$13:$B$46</c:f>
              <c:strCache>
                <c:ptCount val="34"/>
                <c:pt idx="0">
                  <c:v>Adjumani</c:v>
                </c:pt>
                <c:pt idx="1">
                  <c:v>Amuru</c:v>
                </c:pt>
                <c:pt idx="2">
                  <c:v>Arua</c:v>
                </c:pt>
                <c:pt idx="3">
                  <c:v>Buhweju</c:v>
                </c:pt>
                <c:pt idx="4">
                  <c:v>Buliisa</c:v>
                </c:pt>
                <c:pt idx="5">
                  <c:v>Bundibugyo</c:v>
                </c:pt>
                <c:pt idx="6">
                  <c:v>Bunyangabu</c:v>
                </c:pt>
                <c:pt idx="7">
                  <c:v>Bushenyi</c:v>
                </c:pt>
                <c:pt idx="8">
                  <c:v>Hoima</c:v>
                </c:pt>
                <c:pt idx="9">
                  <c:v>Hoima City</c:v>
                </c:pt>
                <c:pt idx="10">
                  <c:v>Ibanda</c:v>
                </c:pt>
                <c:pt idx="11">
                  <c:v>Kabarole</c:v>
                </c:pt>
                <c:pt idx="12">
                  <c:v>Kagadi</c:v>
                </c:pt>
                <c:pt idx="13">
                  <c:v>Kakumiro</c:v>
                </c:pt>
                <c:pt idx="14">
                  <c:v>Kamwenge</c:v>
                </c:pt>
                <c:pt idx="15">
                  <c:v>Kanungu</c:v>
                </c:pt>
                <c:pt idx="16">
                  <c:v>Kasese</c:v>
                </c:pt>
                <c:pt idx="17">
                  <c:v>Kibaale</c:v>
                </c:pt>
                <c:pt idx="18">
                  <c:v>Kikuube</c:v>
                </c:pt>
                <c:pt idx="19">
                  <c:v>Kiryadongo</c:v>
                </c:pt>
                <c:pt idx="20">
                  <c:v>Kitagwende</c:v>
                </c:pt>
                <c:pt idx="21">
                  <c:v>Kyenjojo</c:v>
                </c:pt>
                <c:pt idx="22">
                  <c:v>Maracha</c:v>
                </c:pt>
                <c:pt idx="23">
                  <c:v>Masindi</c:v>
                </c:pt>
                <c:pt idx="24">
                  <c:v>Mitooma</c:v>
                </c:pt>
                <c:pt idx="25">
                  <c:v>Moyo</c:v>
                </c:pt>
                <c:pt idx="26">
                  <c:v>Nebbi</c:v>
                </c:pt>
                <c:pt idx="27">
                  <c:v>Ntoroko</c:v>
                </c:pt>
                <c:pt idx="28">
                  <c:v>Nwoya</c:v>
                </c:pt>
                <c:pt idx="29">
                  <c:v>Obongi</c:v>
                </c:pt>
                <c:pt idx="30">
                  <c:v>Rubirizi</c:v>
                </c:pt>
                <c:pt idx="31">
                  <c:v>Rukungiri</c:v>
                </c:pt>
                <c:pt idx="32">
                  <c:v>Terego</c:v>
                </c:pt>
                <c:pt idx="33">
                  <c:v>Yumbe</c:v>
                </c:pt>
              </c:strCache>
            </c:strRef>
          </c:cat>
          <c:val>
            <c:numRef>
              <c:f>'SN distribution'!$P$13:$P$46</c:f>
              <c:numCache>
                <c:formatCode>0.0</c:formatCode>
                <c:ptCount val="34"/>
                <c:pt idx="0">
                  <c:v>1.0000719741769548</c:v>
                </c:pt>
                <c:pt idx="1">
                  <c:v>1.1208108432053652</c:v>
                </c:pt>
                <c:pt idx="2">
                  <c:v>0.95271291125882174</c:v>
                </c:pt>
                <c:pt idx="3">
                  <c:v>0.38432693087683567</c:v>
                </c:pt>
                <c:pt idx="4">
                  <c:v>12.197341330127518</c:v>
                </c:pt>
                <c:pt idx="5">
                  <c:v>0.58592460802050483</c:v>
                </c:pt>
                <c:pt idx="6">
                  <c:v>0.40223140204340402</c:v>
                </c:pt>
                <c:pt idx="7">
                  <c:v>0.54852153279493265</c:v>
                </c:pt>
                <c:pt idx="8">
                  <c:v>1.9327409829630313</c:v>
                </c:pt>
                <c:pt idx="9">
                  <c:v>1.8463955472215678</c:v>
                </c:pt>
                <c:pt idx="10">
                  <c:v>0.62491752159341318</c:v>
                </c:pt>
                <c:pt idx="11">
                  <c:v>0.7321423880536001</c:v>
                </c:pt>
                <c:pt idx="12">
                  <c:v>0.69154718644947322</c:v>
                </c:pt>
                <c:pt idx="13">
                  <c:v>1.1703623455956764</c:v>
                </c:pt>
                <c:pt idx="14">
                  <c:v>0.89007926440640794</c:v>
                </c:pt>
                <c:pt idx="15">
                  <c:v>0.69056979520236661</c:v>
                </c:pt>
                <c:pt idx="16">
                  <c:v>1.8369077472494584</c:v>
                </c:pt>
                <c:pt idx="17">
                  <c:v>1.2559872353653172</c:v>
                </c:pt>
                <c:pt idx="18">
                  <c:v>2.2307192875436934</c:v>
                </c:pt>
                <c:pt idx="19">
                  <c:v>1.2770043545962138</c:v>
                </c:pt>
                <c:pt idx="20">
                  <c:v>0.43228803955193684</c:v>
                </c:pt>
                <c:pt idx="21">
                  <c:v>1.3308245201442057</c:v>
                </c:pt>
                <c:pt idx="22">
                  <c:v>0.65747762706815416</c:v>
                </c:pt>
                <c:pt idx="23">
                  <c:v>1.3843694683080097</c:v>
                </c:pt>
                <c:pt idx="24">
                  <c:v>0.40296270011714574</c:v>
                </c:pt>
                <c:pt idx="25">
                  <c:v>0.58498902675566167</c:v>
                </c:pt>
                <c:pt idx="26">
                  <c:v>0.85164816277370958</c:v>
                </c:pt>
                <c:pt idx="27">
                  <c:v>1.5880182323215446</c:v>
                </c:pt>
                <c:pt idx="28">
                  <c:v>13.14644633783703</c:v>
                </c:pt>
                <c:pt idx="29">
                  <c:v>0.29512171708154478</c:v>
                </c:pt>
                <c:pt idx="30">
                  <c:v>0.45556564768298685</c:v>
                </c:pt>
                <c:pt idx="31">
                  <c:v>0.80410763621327785</c:v>
                </c:pt>
                <c:pt idx="32">
                  <c:v>0.59554229348497556</c:v>
                </c:pt>
                <c:pt idx="33">
                  <c:v>1.5683435645160448</c:v>
                </c:pt>
              </c:numCache>
            </c:numRef>
          </c:val>
          <c:extLst>
            <c:ext xmlns:c16="http://schemas.microsoft.com/office/drawing/2014/chart" uri="{C3380CC4-5D6E-409C-BE32-E72D297353CC}">
              <c16:uniqueId val="{00000000-5CD6-4835-8D00-ECC227912F41}"/>
            </c:ext>
          </c:extLst>
        </c:ser>
        <c:dLbls>
          <c:showLegendKey val="0"/>
          <c:showVal val="0"/>
          <c:showCatName val="0"/>
          <c:showSerName val="0"/>
          <c:showPercent val="0"/>
          <c:showBubbleSize val="0"/>
        </c:dLbls>
        <c:gapWidth val="219"/>
        <c:overlap val="-27"/>
        <c:axId val="19240431"/>
        <c:axId val="1"/>
      </c:barChart>
      <c:catAx>
        <c:axId val="1924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043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opml.co.uk/projects/ghana-oil-gas-inclusive-growth-gogig"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hyperlink" Target="https://www.rystadenergy.com/"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8</xdr:col>
      <xdr:colOff>514350</xdr:colOff>
      <xdr:row>44</xdr:row>
      <xdr:rowOff>2078</xdr:rowOff>
    </xdr:from>
    <xdr:to>
      <xdr:col>10</xdr:col>
      <xdr:colOff>133350</xdr:colOff>
      <xdr:row>45</xdr:row>
      <xdr:rowOff>96463</xdr:rowOff>
    </xdr:to>
    <xdr:pic>
      <xdr:nvPicPr>
        <xdr:cNvPr id="2" name="Picture 1" descr="https://licensebuttons.net/l/by/4.0/88x31.png">
          <a:extLst>
            <a:ext uri="{FF2B5EF4-FFF2-40B4-BE49-F238E27FC236}">
              <a16:creationId xmlns:a16="http://schemas.microsoft.com/office/drawing/2014/main" id="{2160A48B-1227-4E6A-A1DA-F8B39869B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0914" y="8197042"/>
          <a:ext cx="865909" cy="274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304801</xdr:colOff>
      <xdr:row>34</xdr:row>
      <xdr:rowOff>76201</xdr:rowOff>
    </xdr:from>
    <xdr:to>
      <xdr:col>13</xdr:col>
      <xdr:colOff>428625</xdr:colOff>
      <xdr:row>40</xdr:row>
      <xdr:rowOff>101600</xdr:rowOff>
    </xdr:to>
    <xdr:sp macro="" textlink="">
      <xdr:nvSpPr>
        <xdr:cNvPr id="3" name="TextBox 2">
          <a:extLst>
            <a:ext uri="{FF2B5EF4-FFF2-40B4-BE49-F238E27FC236}">
              <a16:creationId xmlns:a16="http://schemas.microsoft.com/office/drawing/2014/main" id="{C1E2B6BC-6B86-4AB9-A6E2-8915971D4CDD}"/>
            </a:ext>
          </a:extLst>
        </xdr:cNvPr>
        <xdr:cNvSpPr txBox="1"/>
      </xdr:nvSpPr>
      <xdr:spPr>
        <a:xfrm>
          <a:off x="4191001" y="6553201"/>
          <a:ext cx="5111460" cy="11060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0" baseline="0"/>
            <a:t>Disclaimer </a:t>
          </a:r>
        </a:p>
        <a:p>
          <a:pPr algn="ctr"/>
          <a:r>
            <a:rPr lang="en-GB" sz="1100" i="1">
              <a:solidFill>
                <a:schemeClr val="dk1"/>
              </a:solidFill>
              <a:effectLst/>
              <a:latin typeface="+mn-lt"/>
              <a:ea typeface="+mn-ea"/>
              <a:cs typeface="+mn-cs"/>
            </a:rPr>
            <a:t>The model comes with serious limitations as compared with those operated by government authorities, extractives companies or the IMF</a:t>
          </a:r>
          <a:r>
            <a:rPr lang="en-GB" sz="1100" i="1" baseline="0">
              <a:solidFill>
                <a:schemeClr val="dk1"/>
              </a:solidFill>
              <a:effectLst/>
              <a:latin typeface="+mn-lt"/>
              <a:ea typeface="+mn-ea"/>
              <a:cs typeface="+mn-cs"/>
            </a:rPr>
            <a:t> or World Bank</a:t>
          </a:r>
          <a:r>
            <a:rPr lang="en-GB" sz="1100" i="1">
              <a:solidFill>
                <a:schemeClr val="dk1"/>
              </a:solidFill>
              <a:effectLst/>
              <a:latin typeface="+mn-lt"/>
              <a:ea typeface="+mn-ea"/>
              <a:cs typeface="+mn-cs"/>
            </a:rPr>
            <a:t>, as we only</a:t>
          </a:r>
          <a:r>
            <a:rPr lang="en-GB" sz="1100" i="1" baseline="0">
              <a:solidFill>
                <a:schemeClr val="dk1"/>
              </a:solidFill>
              <a:effectLst/>
              <a:latin typeface="+mn-lt"/>
              <a:ea typeface="+mn-ea"/>
              <a:cs typeface="+mn-cs"/>
            </a:rPr>
            <a:t> have access to publicly available or third party information</a:t>
          </a:r>
          <a:r>
            <a:rPr lang="en-GB" sz="1100" i="1">
              <a:solidFill>
                <a:schemeClr val="dk1"/>
              </a:solidFill>
              <a:effectLst/>
              <a:latin typeface="+mn-lt"/>
              <a:ea typeface="+mn-ea"/>
              <a:cs typeface="+mn-cs"/>
            </a:rPr>
            <a:t>. Although we are confident that it captures magnitudes and trends with a reasonable degree of accuracy, it may not be as precise as other models using privileged information.</a:t>
          </a:r>
        </a:p>
        <a:p>
          <a:pPr algn="ctr"/>
          <a:endParaRPr lang="en-GB" sz="1100" i="1">
            <a:solidFill>
              <a:schemeClr val="dk1"/>
            </a:solidFill>
            <a:effectLst/>
            <a:latin typeface="+mn-lt"/>
            <a:ea typeface="+mn-ea"/>
            <a:cs typeface="+mn-cs"/>
          </a:endParaRPr>
        </a:p>
      </xdr:txBody>
    </xdr:sp>
    <xdr:clientData/>
  </xdr:twoCellAnchor>
  <xdr:twoCellAnchor editAs="oneCell">
    <xdr:from>
      <xdr:col>1</xdr:col>
      <xdr:colOff>38099</xdr:colOff>
      <xdr:row>1</xdr:row>
      <xdr:rowOff>95251</xdr:rowOff>
    </xdr:from>
    <xdr:to>
      <xdr:col>4</xdr:col>
      <xdr:colOff>780472</xdr:colOff>
      <xdr:row>7</xdr:row>
      <xdr:rowOff>76201</xdr:rowOff>
    </xdr:to>
    <xdr:pic>
      <xdr:nvPicPr>
        <xdr:cNvPr id="4" name="Picture 3">
          <a:extLst>
            <a:ext uri="{FF2B5EF4-FFF2-40B4-BE49-F238E27FC236}">
              <a16:creationId xmlns:a16="http://schemas.microsoft.com/office/drawing/2014/main" id="{23946726-35B5-471D-9439-8D975C1555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39" y="278131"/>
          <a:ext cx="3683000" cy="1436370"/>
        </a:xfrm>
        <a:prstGeom prst="rect">
          <a:avLst/>
        </a:prstGeom>
      </xdr:spPr>
    </xdr:pic>
    <xdr:clientData/>
  </xdr:twoCellAnchor>
  <xdr:twoCellAnchor>
    <xdr:from>
      <xdr:col>1</xdr:col>
      <xdr:colOff>1867</xdr:colOff>
      <xdr:row>10</xdr:row>
      <xdr:rowOff>100853</xdr:rowOff>
    </xdr:from>
    <xdr:to>
      <xdr:col>17</xdr:col>
      <xdr:colOff>9525</xdr:colOff>
      <xdr:row>16</xdr:row>
      <xdr:rowOff>158750</xdr:rowOff>
    </xdr:to>
    <xdr:sp macro="" textlink="">
      <xdr:nvSpPr>
        <xdr:cNvPr id="5" name="TextBox 4">
          <a:hlinkClick xmlns:r="http://schemas.openxmlformats.org/officeDocument/2006/relationships" r:id="rId3"/>
          <a:extLst>
            <a:ext uri="{FF2B5EF4-FFF2-40B4-BE49-F238E27FC236}">
              <a16:creationId xmlns:a16="http://schemas.microsoft.com/office/drawing/2014/main" id="{39C8A59C-6619-4597-B165-AEF3957C4E78}"/>
            </a:ext>
          </a:extLst>
        </xdr:cNvPr>
        <xdr:cNvSpPr txBox="1"/>
      </xdr:nvSpPr>
      <xdr:spPr>
        <a:xfrm>
          <a:off x="169507" y="2303033"/>
          <a:ext cx="12473978" cy="19933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simple model sets out the </a:t>
          </a:r>
          <a:r>
            <a:rPr lang="en-GB" sz="1100" baseline="0">
              <a:solidFill>
                <a:schemeClr val="dk1"/>
              </a:solidFill>
              <a:effectLst/>
              <a:latin typeface="+mn-lt"/>
              <a:ea typeface="+mn-ea"/>
              <a:cs typeface="+mn-cs"/>
            </a:rPr>
            <a:t>planned mechanism for sharing Uganda's oil royalties with local government districts and gazetted cultural or traditional institutions.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We developed the model to eable users to:</a:t>
          </a:r>
        </a:p>
        <a:p>
          <a:r>
            <a:rPr lang="en-GB" sz="1100" baseline="0">
              <a:solidFill>
                <a:schemeClr val="dk1"/>
              </a:solidFill>
              <a:effectLst/>
              <a:latin typeface="+mn-lt"/>
              <a:ea typeface="+mn-ea"/>
              <a:cs typeface="+mn-cs"/>
            </a:rPr>
            <a:t>1. Analyze possible royalties and the share that subnational entities would receive across different price scenarios.</a:t>
          </a:r>
        </a:p>
        <a:p>
          <a:r>
            <a:rPr lang="en-GB" sz="1100" baseline="0">
              <a:solidFill>
                <a:schemeClr val="dk1"/>
              </a:solidFill>
              <a:effectLst/>
              <a:latin typeface="+mn-lt"/>
              <a:ea typeface="+mn-ea"/>
              <a:cs typeface="+mn-cs"/>
            </a:rPr>
            <a:t>2. Assess how the subnational share could be distributed between districts, and the formula that will determine this distribution.</a:t>
          </a:r>
        </a:p>
        <a:p>
          <a:r>
            <a:rPr lang="en-GB" sz="1100" baseline="0">
              <a:solidFill>
                <a:schemeClr val="dk1"/>
              </a:solidFill>
              <a:effectLst/>
              <a:latin typeface="+mn-lt"/>
              <a:ea typeface="+mn-ea"/>
              <a:cs typeface="+mn-cs"/>
            </a:rPr>
            <a:t>3. Explore how these transfers compare in size to other funding sources that local governments currently have access.</a:t>
          </a:r>
        </a:p>
        <a:p>
          <a:endParaRPr lang="en-GB" sz="1100" baseline="0">
            <a:solidFill>
              <a:schemeClr val="dk1"/>
            </a:solidFill>
            <a:effectLst/>
            <a:latin typeface="+mn-lt"/>
            <a:ea typeface="+mn-ea"/>
            <a:cs typeface="+mn-cs"/>
          </a:endParaRPr>
        </a:p>
      </xdr:txBody>
    </xdr:sp>
    <xdr:clientData/>
  </xdr:twoCellAnchor>
  <xdr:twoCellAnchor>
    <xdr:from>
      <xdr:col>1</xdr:col>
      <xdr:colOff>0</xdr:colOff>
      <xdr:row>31</xdr:row>
      <xdr:rowOff>0</xdr:rowOff>
    </xdr:from>
    <xdr:to>
      <xdr:col>16</xdr:col>
      <xdr:colOff>1990725</xdr:colOff>
      <xdr:row>32</xdr:row>
      <xdr:rowOff>159327</xdr:rowOff>
    </xdr:to>
    <xdr:sp macro="" textlink="">
      <xdr:nvSpPr>
        <xdr:cNvPr id="6" name="TextBox 5">
          <a:hlinkClick xmlns:r="http://schemas.openxmlformats.org/officeDocument/2006/relationships" r:id="rId4"/>
          <a:extLst>
            <a:ext uri="{FF2B5EF4-FFF2-40B4-BE49-F238E27FC236}">
              <a16:creationId xmlns:a16="http://schemas.microsoft.com/office/drawing/2014/main" id="{418173DB-044B-4984-BD10-03D1CCA5F306}"/>
            </a:ext>
          </a:extLst>
        </xdr:cNvPr>
        <xdr:cNvSpPr txBox="1"/>
      </xdr:nvSpPr>
      <xdr:spPr>
        <a:xfrm>
          <a:off x="166255" y="5749636"/>
          <a:ext cx="12568670" cy="4433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sourced data from public websites, reports</a:t>
          </a:r>
          <a:r>
            <a:rPr lang="en-GB" sz="1100" baseline="0">
              <a:solidFill>
                <a:schemeClr val="dk1"/>
              </a:solidFill>
              <a:effectLst/>
              <a:latin typeface="+mn-lt"/>
              <a:ea typeface="+mn-ea"/>
              <a:cs typeface="+mn-cs"/>
            </a:rPr>
            <a:t> and</a:t>
          </a:r>
          <a:r>
            <a:rPr lang="en-GB" sz="1100">
              <a:solidFill>
                <a:schemeClr val="dk1"/>
              </a:solidFill>
              <a:effectLst/>
              <a:latin typeface="+mn-lt"/>
              <a:ea typeface="+mn-ea"/>
              <a:cs typeface="+mn-cs"/>
            </a:rPr>
            <a:t> legislation,</a:t>
          </a:r>
          <a:r>
            <a:rPr lang="en-GB" sz="1100" baseline="0">
              <a:solidFill>
                <a:schemeClr val="dk1"/>
              </a:solidFill>
              <a:effectLst/>
              <a:latin typeface="+mn-lt"/>
              <a:ea typeface="+mn-ea"/>
              <a:cs typeface="+mn-cs"/>
            </a:rPr>
            <a:t> with the exception of the price scenarios.</a:t>
          </a:r>
          <a:r>
            <a:rPr lang="en-GB" sz="1100">
              <a:solidFill>
                <a:schemeClr val="dk1"/>
              </a:solidFill>
              <a:effectLst/>
              <a:latin typeface="+mn-lt"/>
              <a:ea typeface="+mn-ea"/>
              <a:cs typeface="+mn-cs"/>
            </a:rPr>
            <a:t> These are based on data from </a:t>
          </a:r>
          <a:r>
            <a:rPr lang="en-GB" sz="1100" u="sng">
              <a:solidFill>
                <a:srgbClr val="0000CC"/>
              </a:solidFill>
              <a:effectLst/>
              <a:latin typeface="+mn-lt"/>
              <a:ea typeface="+mn-ea"/>
              <a:cs typeface="+mn-cs"/>
            </a:rPr>
            <a:t>Rystad Energy</a:t>
          </a:r>
          <a:r>
            <a:rPr lang="en-GB" sz="1100">
              <a:solidFill>
                <a:schemeClr val="dk1"/>
              </a:solidFill>
              <a:effectLst/>
              <a:latin typeface="+mn-lt"/>
              <a:ea typeface="+mn-ea"/>
              <a:cs typeface="+mn-cs"/>
            </a:rPr>
            <a:t>. Further</a:t>
          </a:r>
          <a:r>
            <a:rPr lang="en-GB" sz="1100" baseline="0">
              <a:solidFill>
                <a:schemeClr val="dk1"/>
              </a:solidFill>
              <a:effectLst/>
              <a:latin typeface="+mn-lt"/>
              <a:ea typeface="+mn-ea"/>
              <a:cs typeface="+mn-cs"/>
            </a:rPr>
            <a:t> explanation of our assumptions and data sources are provided in notes in the other sheets. </a:t>
          </a:r>
          <a:r>
            <a:rPr lang="en-GB" sz="1100">
              <a:solidFill>
                <a:schemeClr val="dk1"/>
              </a:solidFill>
              <a:effectLst/>
              <a:latin typeface="+mn-lt"/>
              <a:ea typeface="+mn-ea"/>
              <a:cs typeface="+mn-cs"/>
            </a:rPr>
            <a:t>We will continue to work with stakeholders in Uganda to refine the model as we gain access to</a:t>
          </a:r>
          <a:r>
            <a:rPr lang="en-GB" sz="1100" baseline="0">
              <a:solidFill>
                <a:schemeClr val="dk1"/>
              </a:solidFill>
              <a:effectLst/>
              <a:latin typeface="+mn-lt"/>
              <a:ea typeface="+mn-ea"/>
              <a:cs typeface="+mn-cs"/>
            </a:rPr>
            <a:t> more data and the gaps in the revenue sharing mechanism are filled.</a:t>
          </a:r>
          <a:endParaRPr lang="en-GB" sz="1100">
            <a:solidFill>
              <a:schemeClr val="dk1"/>
            </a:solidFill>
            <a:effectLst/>
            <a:latin typeface="+mn-lt"/>
            <a:ea typeface="+mn-ea"/>
            <a:cs typeface="+mn-cs"/>
          </a:endParaRPr>
        </a:p>
        <a:p>
          <a:endParaRPr lang="en-GB" sz="1050">
            <a:solidFill>
              <a:schemeClr val="dk1"/>
            </a:solidFill>
            <a:effectLst/>
            <a:latin typeface="+mn-lt"/>
            <a:ea typeface="+mn-ea"/>
            <a:cs typeface="+mn-cs"/>
          </a:endParaRPr>
        </a:p>
        <a:p>
          <a:pPr algn="l"/>
          <a:endParaRPr lang="en-GB" sz="1050" i="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259080</xdr:colOff>
      <xdr:row>153</xdr:row>
      <xdr:rowOff>152400</xdr:rowOff>
    </xdr:from>
    <xdr:to>
      <xdr:col>3</xdr:col>
      <xdr:colOff>449580</xdr:colOff>
      <xdr:row>168</xdr:row>
      <xdr:rowOff>152400</xdr:rowOff>
    </xdr:to>
    <xdr:graphicFrame macro="">
      <xdr:nvGraphicFramePr>
        <xdr:cNvPr id="2" name="Chart 1">
          <a:extLst>
            <a:ext uri="{FF2B5EF4-FFF2-40B4-BE49-F238E27FC236}">
              <a16:creationId xmlns:a16="http://schemas.microsoft.com/office/drawing/2014/main" id="{AFE4727E-97D7-5BC7-551B-33B4B1EF65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173527</xdr:colOff>
      <xdr:row>171</xdr:row>
      <xdr:rowOff>22975</xdr:rowOff>
    </xdr:from>
    <xdr:to>
      <xdr:col>3</xdr:col>
      <xdr:colOff>365297</xdr:colOff>
      <xdr:row>186</xdr:row>
      <xdr:rowOff>22975</xdr:rowOff>
    </xdr:to>
    <xdr:graphicFrame macro="">
      <xdr:nvGraphicFramePr>
        <xdr:cNvPr id="4" name="Chart 3">
          <a:extLst>
            <a:ext uri="{FF2B5EF4-FFF2-40B4-BE49-F238E27FC236}">
              <a16:creationId xmlns:a16="http://schemas.microsoft.com/office/drawing/2014/main" id="{895D96F8-C326-4325-A8C7-193282EB0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367030</xdr:colOff>
      <xdr:row>153</xdr:row>
      <xdr:rowOff>113030</xdr:rowOff>
    </xdr:from>
    <xdr:to>
      <xdr:col>10</xdr:col>
      <xdr:colOff>481330</xdr:colOff>
      <xdr:row>168</xdr:row>
      <xdr:rowOff>113030</xdr:rowOff>
    </xdr:to>
    <xdr:graphicFrame macro="">
      <xdr:nvGraphicFramePr>
        <xdr:cNvPr id="5" name="Chart 4">
          <a:extLst>
            <a:ext uri="{FF2B5EF4-FFF2-40B4-BE49-F238E27FC236}">
              <a16:creationId xmlns:a16="http://schemas.microsoft.com/office/drawing/2014/main" id="{0B6E144F-6DB7-4831-9063-986A0BCC1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161290</xdr:colOff>
      <xdr:row>153</xdr:row>
      <xdr:rowOff>105410</xdr:rowOff>
    </xdr:from>
    <xdr:to>
      <xdr:col>17</xdr:col>
      <xdr:colOff>115570</xdr:colOff>
      <xdr:row>168</xdr:row>
      <xdr:rowOff>105410</xdr:rowOff>
    </xdr:to>
    <xdr:graphicFrame macro="">
      <xdr:nvGraphicFramePr>
        <xdr:cNvPr id="6" name="Chart 5">
          <a:extLst>
            <a:ext uri="{FF2B5EF4-FFF2-40B4-BE49-F238E27FC236}">
              <a16:creationId xmlns:a16="http://schemas.microsoft.com/office/drawing/2014/main" id="{99786D4B-98D7-48E9-889E-A2981105F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420370</xdr:colOff>
      <xdr:row>171</xdr:row>
      <xdr:rowOff>59690</xdr:rowOff>
    </xdr:from>
    <xdr:to>
      <xdr:col>10</xdr:col>
      <xdr:colOff>534670</xdr:colOff>
      <xdr:row>186</xdr:row>
      <xdr:rowOff>59690</xdr:rowOff>
    </xdr:to>
    <xdr:graphicFrame macro="">
      <xdr:nvGraphicFramePr>
        <xdr:cNvPr id="7" name="Chart 6">
          <a:extLst>
            <a:ext uri="{FF2B5EF4-FFF2-40B4-BE49-F238E27FC236}">
              <a16:creationId xmlns:a16="http://schemas.microsoft.com/office/drawing/2014/main" id="{BFF6D1B4-1343-451A-A8C2-D5A6BA2FE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382270</xdr:colOff>
      <xdr:row>171</xdr:row>
      <xdr:rowOff>6350</xdr:rowOff>
    </xdr:from>
    <xdr:to>
      <xdr:col>17</xdr:col>
      <xdr:colOff>336550</xdr:colOff>
      <xdr:row>186</xdr:row>
      <xdr:rowOff>6350</xdr:rowOff>
    </xdr:to>
    <xdr:graphicFrame macro="">
      <xdr:nvGraphicFramePr>
        <xdr:cNvPr id="8" name="Chart 7">
          <a:extLst>
            <a:ext uri="{FF2B5EF4-FFF2-40B4-BE49-F238E27FC236}">
              <a16:creationId xmlns:a16="http://schemas.microsoft.com/office/drawing/2014/main" id="{ED7B46F9-8540-482B-B388-51EA16DEB6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48</xdr:row>
      <xdr:rowOff>28575</xdr:rowOff>
    </xdr:from>
    <xdr:to>
      <xdr:col>6</xdr:col>
      <xdr:colOff>114300</xdr:colOff>
      <xdr:row>57</xdr:row>
      <xdr:rowOff>304800</xdr:rowOff>
    </xdr:to>
    <xdr:graphicFrame macro="">
      <xdr:nvGraphicFramePr>
        <xdr:cNvPr id="4" name="Chart 3">
          <a:extLst>
            <a:ext uri="{FF2B5EF4-FFF2-40B4-BE49-F238E27FC236}">
              <a16:creationId xmlns:a16="http://schemas.microsoft.com/office/drawing/2014/main" id="{23EE835A-F386-4F45-AA54-32F107A42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838200</xdr:colOff>
      <xdr:row>48</xdr:row>
      <xdr:rowOff>19050</xdr:rowOff>
    </xdr:from>
    <xdr:to>
      <xdr:col>14</xdr:col>
      <xdr:colOff>542924</xdr:colOff>
      <xdr:row>57</xdr:row>
      <xdr:rowOff>257175</xdr:rowOff>
    </xdr:to>
    <xdr:graphicFrame macro="">
      <xdr:nvGraphicFramePr>
        <xdr:cNvPr id="5" name="Chart 4">
          <a:extLst>
            <a:ext uri="{FF2B5EF4-FFF2-40B4-BE49-F238E27FC236}">
              <a16:creationId xmlns:a16="http://schemas.microsoft.com/office/drawing/2014/main" id="{3A7765E5-B080-4068-8E61-A978EDBBE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revenuewatchinstitute-my.sharepoint.com/personal/box_resourcegovernance_org/Documents/FrankBox/NRGI%20Cloud%20Server/Global%20Shared/Programs%20(Shared)/L&amp;E%20(Shared)/Projects/Ghana's%20future%20petroleum%20revenues/Model/GHA%20petroleum%20revenue%20model_NRGI_February%202022.xlsx?1455BD64" TargetMode="External"/><Relationship Id="rId1" Type="http://schemas.openxmlformats.org/officeDocument/2006/relationships/externalLinkPath" Target="file:///\\1455BD64\GHA%20petroleum%20revenue%20model_NRGI_February%20202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revenuewatchinstitute-my.sharepoint.com/personal/box_resourcegovernance_org/Documents/FrankBox/NRGI%20Cloud%20Server/Global%20Shared/Programs%20(Shared)/L&amp;E%20(Shared)/Projects/Tanzania%2050-50%20sharing/Analysis/Tanzania%20Mining%20Tax%20Model_Gold_January%202022.xlsm?F574444D" TargetMode="External"/><Relationship Id="rId1" Type="http://schemas.openxmlformats.org/officeDocument/2006/relationships/externalLinkPath" Target="file:///\\F574444D\Tanzania%20Mining%20Tax%20Model_Gold_January%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Controls &amp; Dashboard"/>
      <sheetName val="Jubilee_Unitised"/>
      <sheetName val="Jubilee_DWT"/>
      <sheetName val="Jubilee_WCTP"/>
      <sheetName val="OCTP"/>
      <sheetName val="DWT"/>
      <sheetName val="DWT-CTP"/>
      <sheetName val="WCTPB2"/>
      <sheetName val="ESWT"/>
      <sheetName val="SDWT"/>
      <sheetName val="CTPB4"/>
      <sheetName val="EKO"/>
      <sheetName val="CT"/>
      <sheetName val="SWCTP"/>
      <sheetName val="DWCTP"/>
      <sheetName val="DWCTPWO"/>
      <sheetName val="OSWT"/>
      <sheetName val="OOKD"/>
      <sheetName val="Project economics"/>
      <sheetName val="Fiscal Regime"/>
      <sheetName val="Other inputs"/>
      <sheetName val="Aggregate projections"/>
      <sheetName val="Revenue allocation"/>
    </sheetNames>
    <sheetDataSet>
      <sheetData sheetId="0" refreshError="1"/>
      <sheetData sheetId="1">
        <row r="72">
          <cell r="D72">
            <v>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7">
          <cell r="D7">
            <v>1028</v>
          </cell>
        </row>
        <row r="9">
          <cell r="D9">
            <v>166.67</v>
          </cell>
        </row>
      </sheetData>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Results"/>
      <sheetName val="Inputs"/>
      <sheetName val="Model"/>
      <sheetName val="Lists"/>
      <sheetName val="Standard analysis"/>
      <sheetName val="Analysis"/>
      <sheetName val="Model changes to this version"/>
    </sheetNames>
    <sheetDataSet>
      <sheetData sheetId="0"/>
      <sheetData sheetId="1"/>
      <sheetData sheetId="2">
        <row r="200">
          <cell r="E200">
            <v>1400</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A71E-647E-4F98-8F68-437D250A5547}">
  <sheetPr>
    <tabColor theme="1"/>
  </sheetPr>
  <dimension ref="A1:T251"/>
  <sheetViews>
    <sheetView showGridLines="0" tabSelected="1" zoomScale="110" zoomScaleNormal="110" workbookViewId="0">
      <selection activeCell="H5" sqref="H5"/>
    </sheetView>
  </sheetViews>
  <sheetFormatPr defaultColWidth="0" defaultRowHeight="14.45" customHeight="1" zeroHeight="1" x14ac:dyDescent="0.25"/>
  <cols>
    <col min="1" max="1" width="2.42578125" style="31" customWidth="1"/>
    <col min="2" max="2" width="24.7109375" style="31" customWidth="1"/>
    <col min="3" max="4" width="9.140625" style="31" customWidth="1"/>
    <col min="5" max="5" width="11.42578125" style="31" customWidth="1"/>
    <col min="6" max="16" width="9.140625" style="31" customWidth="1"/>
    <col min="17" max="17" width="31" style="31" customWidth="1"/>
    <col min="18" max="20" width="9.140625" style="31" customWidth="1"/>
    <col min="21" max="16384" width="9.140625" style="31" hidden="1"/>
  </cols>
  <sheetData>
    <row r="1" spans="2:18" ht="15" x14ac:dyDescent="0.25"/>
    <row r="2" spans="2:18" ht="15" x14ac:dyDescent="0.25"/>
    <row r="3" spans="2:18" ht="15" x14ac:dyDescent="0.25"/>
    <row r="4" spans="2:18" ht="15" x14ac:dyDescent="0.25"/>
    <row r="5" spans="2:18" ht="33.75" x14ac:dyDescent="0.5">
      <c r="H5" s="32" t="s">
        <v>117</v>
      </c>
    </row>
    <row r="6" spans="2:18" ht="23.25" x14ac:dyDescent="0.35">
      <c r="H6" s="33" t="s">
        <v>130</v>
      </c>
    </row>
    <row r="7" spans="2:18" ht="15" x14ac:dyDescent="0.25"/>
    <row r="8" spans="2:18" ht="15" x14ac:dyDescent="0.25"/>
    <row r="9" spans="2:18" ht="15" x14ac:dyDescent="0.25"/>
    <row r="10" spans="2:18" ht="15.75" x14ac:dyDescent="0.25">
      <c r="B10" s="40" t="s">
        <v>107</v>
      </c>
      <c r="C10" s="40"/>
      <c r="D10" s="40"/>
      <c r="E10" s="40"/>
      <c r="F10" s="40"/>
      <c r="G10" s="40"/>
      <c r="H10" s="40"/>
      <c r="I10" s="40"/>
      <c r="J10" s="40"/>
      <c r="K10" s="40"/>
      <c r="L10" s="40"/>
      <c r="M10" s="40"/>
      <c r="N10" s="40"/>
      <c r="O10" s="40"/>
      <c r="P10" s="40"/>
      <c r="Q10" s="40"/>
      <c r="R10" s="40"/>
    </row>
    <row r="11" spans="2:18" ht="23.25" customHeight="1" x14ac:dyDescent="0.25"/>
    <row r="12" spans="2:18" ht="15" x14ac:dyDescent="0.25"/>
    <row r="13" spans="2:18" ht="15" x14ac:dyDescent="0.25"/>
    <row r="14" spans="2:18" ht="15" x14ac:dyDescent="0.25"/>
    <row r="15" spans="2:18" ht="15" x14ac:dyDescent="0.25"/>
    <row r="16" spans="2:18" ht="15" x14ac:dyDescent="0.25"/>
    <row r="17" spans="2:18" ht="15" x14ac:dyDescent="0.25"/>
    <row r="18" spans="2:18" ht="8.25" customHeight="1" x14ac:dyDescent="0.25"/>
    <row r="19" spans="2:18" ht="15.75" x14ac:dyDescent="0.25">
      <c r="B19" s="40" t="s">
        <v>108</v>
      </c>
      <c r="C19" s="40"/>
      <c r="D19" s="40"/>
      <c r="E19" s="40"/>
      <c r="F19" s="40"/>
      <c r="G19" s="40"/>
      <c r="H19" s="40"/>
      <c r="I19" s="40"/>
      <c r="J19" s="40"/>
      <c r="K19" s="40"/>
      <c r="L19" s="40"/>
      <c r="M19" s="40"/>
      <c r="N19" s="40"/>
      <c r="O19" s="40"/>
      <c r="P19" s="40"/>
      <c r="Q19" s="40"/>
      <c r="R19" s="40"/>
    </row>
    <row r="20" spans="2:18" ht="8.25" customHeight="1" x14ac:dyDescent="0.25"/>
    <row r="21" spans="2:18" ht="15" x14ac:dyDescent="0.25">
      <c r="B21" s="34" t="s">
        <v>131</v>
      </c>
      <c r="C21" s="35" t="s">
        <v>132</v>
      </c>
      <c r="D21" s="36"/>
    </row>
    <row r="22" spans="2:18" ht="15" x14ac:dyDescent="0.25">
      <c r="B22" s="34" t="s">
        <v>133</v>
      </c>
      <c r="C22" s="35" t="s">
        <v>134</v>
      </c>
      <c r="D22" s="36"/>
    </row>
    <row r="23" spans="2:18" ht="15" x14ac:dyDescent="0.25">
      <c r="B23" s="34" t="s">
        <v>135</v>
      </c>
      <c r="C23" s="35" t="s">
        <v>136</v>
      </c>
      <c r="D23" s="36"/>
    </row>
    <row r="24" spans="2:18" ht="8.25" customHeight="1" x14ac:dyDescent="0.25"/>
    <row r="25" spans="2:18" ht="15.75" x14ac:dyDescent="0.25">
      <c r="B25" s="40" t="s">
        <v>109</v>
      </c>
      <c r="C25" s="40"/>
      <c r="D25" s="40"/>
      <c r="E25" s="40"/>
      <c r="F25" s="40"/>
      <c r="G25" s="40"/>
      <c r="H25" s="40"/>
      <c r="I25" s="40"/>
      <c r="J25" s="40"/>
      <c r="K25" s="40"/>
      <c r="L25" s="40"/>
      <c r="M25" s="40"/>
      <c r="N25" s="40"/>
      <c r="O25" s="40"/>
      <c r="P25" s="40"/>
      <c r="Q25" s="40"/>
    </row>
    <row r="26" spans="2:18" ht="9" customHeight="1" x14ac:dyDescent="0.25">
      <c r="B26" s="37"/>
      <c r="C26" s="37"/>
      <c r="D26" s="37"/>
      <c r="E26" s="37"/>
      <c r="F26" s="37"/>
      <c r="G26" s="37"/>
      <c r="H26" s="37"/>
      <c r="I26" s="37"/>
      <c r="J26" s="37"/>
      <c r="K26" s="37"/>
      <c r="L26" s="37"/>
      <c r="M26" s="37"/>
      <c r="N26" s="37"/>
      <c r="O26" s="37"/>
      <c r="P26" s="37"/>
      <c r="Q26" s="37"/>
    </row>
    <row r="27" spans="2:18" ht="15.75" x14ac:dyDescent="0.25">
      <c r="B27" s="44" t="s">
        <v>110</v>
      </c>
      <c r="C27" s="31" t="s">
        <v>111</v>
      </c>
      <c r="D27" s="37"/>
      <c r="E27" s="37"/>
      <c r="F27" s="37"/>
      <c r="G27" s="37"/>
      <c r="H27" s="37"/>
      <c r="I27" s="37"/>
      <c r="J27" s="37"/>
      <c r="K27" s="37"/>
      <c r="L27" s="37"/>
      <c r="M27" s="37"/>
      <c r="N27" s="37"/>
      <c r="O27" s="37"/>
      <c r="P27" s="37"/>
      <c r="Q27" s="37"/>
    </row>
    <row r="28" spans="2:18" ht="15.75" x14ac:dyDescent="0.25">
      <c r="B28" s="38" t="s">
        <v>110</v>
      </c>
      <c r="C28" s="31" t="s">
        <v>112</v>
      </c>
      <c r="D28" s="37"/>
      <c r="E28" s="37"/>
      <c r="F28" s="37"/>
      <c r="G28" s="37"/>
      <c r="H28" s="37"/>
      <c r="I28" s="37"/>
      <c r="J28" s="37"/>
      <c r="K28" s="37"/>
      <c r="L28" s="37"/>
      <c r="M28" s="37"/>
      <c r="N28" s="37"/>
      <c r="O28" s="37"/>
      <c r="P28" s="37"/>
      <c r="Q28" s="37"/>
    </row>
    <row r="29" spans="2:18" ht="9" customHeight="1" x14ac:dyDescent="0.25">
      <c r="B29" s="37"/>
      <c r="C29" s="37"/>
      <c r="D29" s="37"/>
      <c r="E29" s="37"/>
      <c r="F29" s="37"/>
      <c r="G29" s="37"/>
      <c r="H29" s="37"/>
      <c r="I29" s="37"/>
      <c r="J29" s="37"/>
      <c r="K29" s="37"/>
      <c r="L29" s="37"/>
      <c r="M29" s="37"/>
      <c r="N29" s="37"/>
      <c r="O29" s="37"/>
      <c r="P29" s="37"/>
      <c r="Q29" s="37"/>
    </row>
    <row r="30" spans="2:18" ht="15.75" x14ac:dyDescent="0.25">
      <c r="B30" s="40" t="s">
        <v>113</v>
      </c>
      <c r="C30" s="40"/>
      <c r="D30" s="40"/>
      <c r="E30" s="40"/>
      <c r="F30" s="40"/>
      <c r="G30" s="40"/>
      <c r="H30" s="40"/>
      <c r="I30" s="40"/>
      <c r="J30" s="40"/>
      <c r="K30" s="40"/>
      <c r="L30" s="40"/>
      <c r="M30" s="40"/>
      <c r="N30" s="40"/>
      <c r="O30" s="40"/>
      <c r="P30" s="40"/>
      <c r="Q30" s="40"/>
    </row>
    <row r="31" spans="2:18" ht="9" customHeight="1" x14ac:dyDescent="0.25"/>
    <row r="32" spans="2:18" ht="22.5" customHeight="1" x14ac:dyDescent="0.25"/>
    <row r="33" spans="2:17" ht="22.5" customHeight="1" x14ac:dyDescent="0.25"/>
    <row r="34" spans="2:17" ht="15.75" x14ac:dyDescent="0.25">
      <c r="B34" s="40" t="s">
        <v>114</v>
      </c>
      <c r="C34" s="40"/>
      <c r="D34" s="40"/>
      <c r="E34" s="40"/>
      <c r="F34" s="40"/>
      <c r="G34" s="40"/>
      <c r="H34" s="40"/>
      <c r="I34" s="40"/>
      <c r="J34" s="40"/>
      <c r="K34" s="40"/>
      <c r="L34" s="40"/>
      <c r="M34" s="40"/>
      <c r="N34" s="40"/>
      <c r="O34" s="40"/>
      <c r="P34" s="40"/>
      <c r="Q34" s="40"/>
    </row>
    <row r="35" spans="2:17" ht="15" x14ac:dyDescent="0.25"/>
    <row r="36" spans="2:17" ht="15" x14ac:dyDescent="0.25"/>
    <row r="37" spans="2:17" ht="15" x14ac:dyDescent="0.25"/>
    <row r="38" spans="2:17" ht="15" customHeight="1" x14ac:dyDescent="0.25"/>
    <row r="39" spans="2:17" ht="15" x14ac:dyDescent="0.25"/>
    <row r="40" spans="2:17" ht="15" x14ac:dyDescent="0.25"/>
    <row r="41" spans="2:17" ht="15" x14ac:dyDescent="0.25"/>
    <row r="42" spans="2:17" ht="15" x14ac:dyDescent="0.25">
      <c r="J42" s="39" t="s">
        <v>115</v>
      </c>
    </row>
    <row r="43" spans="2:17" ht="15" x14ac:dyDescent="0.25">
      <c r="J43" s="39" t="s">
        <v>116</v>
      </c>
    </row>
    <row r="44" spans="2:17" ht="15" x14ac:dyDescent="0.25"/>
    <row r="45" spans="2:17" ht="15" x14ac:dyDescent="0.25"/>
    <row r="46" spans="2:17" ht="15" x14ac:dyDescent="0.25"/>
    <row r="47" spans="2:17" ht="15" x14ac:dyDescent="0.25"/>
    <row r="48" spans="2:17"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row r="138" customFormat="1" ht="15" x14ac:dyDescent="0.25"/>
    <row r="139" customFormat="1" ht="15" x14ac:dyDescent="0.25"/>
    <row r="140" customFormat="1" ht="15" x14ac:dyDescent="0.25"/>
    <row r="141" customFormat="1" ht="15" x14ac:dyDescent="0.25"/>
    <row r="142" customFormat="1" ht="15" x14ac:dyDescent="0.25"/>
    <row r="143" customFormat="1" ht="15" x14ac:dyDescent="0.25"/>
    <row r="144" customFormat="1" ht="15" x14ac:dyDescent="0.25"/>
    <row r="145" customFormat="1" ht="15" x14ac:dyDescent="0.25"/>
    <row r="146" customFormat="1" ht="15" x14ac:dyDescent="0.25"/>
    <row r="147" customFormat="1" ht="15" x14ac:dyDescent="0.25"/>
    <row r="148" customFormat="1" ht="15" x14ac:dyDescent="0.25"/>
    <row r="149" customFormat="1" ht="15" x14ac:dyDescent="0.25"/>
    <row r="150" customFormat="1" ht="15" x14ac:dyDescent="0.25"/>
    <row r="151" customFormat="1" ht="15" x14ac:dyDescent="0.25"/>
    <row r="152" customFormat="1" ht="15" x14ac:dyDescent="0.25"/>
    <row r="153" customFormat="1" ht="15" x14ac:dyDescent="0.25"/>
    <row r="154" customFormat="1" ht="15" x14ac:dyDescent="0.25"/>
    <row r="155" customFormat="1" ht="15" x14ac:dyDescent="0.25"/>
    <row r="156" customFormat="1" ht="15" x14ac:dyDescent="0.25"/>
    <row r="157" customFormat="1" ht="15" x14ac:dyDescent="0.25"/>
    <row r="158" customFormat="1" ht="15" x14ac:dyDescent="0.25"/>
    <row r="159" customFormat="1" ht="15" x14ac:dyDescent="0.25"/>
    <row r="160" customFormat="1" ht="15" x14ac:dyDescent="0.25"/>
    <row r="161" customFormat="1" ht="15" x14ac:dyDescent="0.25"/>
    <row r="162" customFormat="1" ht="15" x14ac:dyDescent="0.25"/>
    <row r="163" customFormat="1" ht="15" x14ac:dyDescent="0.25"/>
    <row r="164" customFormat="1" ht="15" x14ac:dyDescent="0.25"/>
    <row r="165" customFormat="1" ht="15" x14ac:dyDescent="0.25"/>
    <row r="166" customFormat="1" ht="15" x14ac:dyDescent="0.25"/>
    <row r="167" customFormat="1" ht="15" x14ac:dyDescent="0.25"/>
    <row r="168" customFormat="1" ht="15" x14ac:dyDescent="0.25"/>
    <row r="169" customFormat="1" ht="15" x14ac:dyDescent="0.25"/>
    <row r="170" customFormat="1" ht="15" x14ac:dyDescent="0.25"/>
    <row r="171" customFormat="1" ht="15" x14ac:dyDescent="0.25"/>
    <row r="172" customFormat="1" ht="15" x14ac:dyDescent="0.25"/>
    <row r="173" customFormat="1" ht="15" x14ac:dyDescent="0.25"/>
    <row r="174" customFormat="1" ht="15" x14ac:dyDescent="0.25"/>
    <row r="175" customFormat="1" ht="15" x14ac:dyDescent="0.25"/>
    <row r="176" customFormat="1" ht="15" x14ac:dyDescent="0.25"/>
    <row r="177" customFormat="1" ht="15" x14ac:dyDescent="0.25"/>
    <row r="178" customFormat="1" ht="15" x14ac:dyDescent="0.25"/>
    <row r="179" customFormat="1" ht="15" x14ac:dyDescent="0.25"/>
    <row r="180" customFormat="1" ht="15" x14ac:dyDescent="0.25"/>
    <row r="181" customFormat="1" ht="15" x14ac:dyDescent="0.25"/>
    <row r="182" customFormat="1" ht="15" x14ac:dyDescent="0.25"/>
    <row r="183" customFormat="1" ht="15" x14ac:dyDescent="0.25"/>
    <row r="184" customFormat="1" ht="15" x14ac:dyDescent="0.25"/>
    <row r="185" customFormat="1" ht="15" x14ac:dyDescent="0.25"/>
    <row r="186" customFormat="1" ht="15" x14ac:dyDescent="0.25"/>
    <row r="187" customFormat="1" ht="15" x14ac:dyDescent="0.25"/>
    <row r="188" customFormat="1" ht="15" x14ac:dyDescent="0.25"/>
    <row r="189" customFormat="1" ht="15" x14ac:dyDescent="0.25"/>
    <row r="190" customFormat="1" ht="15" x14ac:dyDescent="0.25"/>
    <row r="191" customFormat="1" ht="15" x14ac:dyDescent="0.25"/>
    <row r="192" customFormat="1" ht="15" x14ac:dyDescent="0.25"/>
    <row r="193" customFormat="1" ht="15" x14ac:dyDescent="0.25"/>
    <row r="194" customFormat="1" ht="15" x14ac:dyDescent="0.25"/>
    <row r="195" customFormat="1" ht="15" x14ac:dyDescent="0.25"/>
    <row r="196" customFormat="1" ht="15" x14ac:dyDescent="0.25"/>
    <row r="197" customFormat="1" ht="15" x14ac:dyDescent="0.25"/>
    <row r="198" customFormat="1" ht="15" x14ac:dyDescent="0.25"/>
    <row r="199" customFormat="1" ht="15" x14ac:dyDescent="0.25"/>
    <row r="200" customFormat="1" ht="15" x14ac:dyDescent="0.25"/>
    <row r="201" customFormat="1" ht="15" x14ac:dyDescent="0.25"/>
    <row r="202" customFormat="1" ht="15" x14ac:dyDescent="0.25"/>
    <row r="203" customFormat="1" ht="15" x14ac:dyDescent="0.25"/>
    <row r="204" customFormat="1" ht="15" x14ac:dyDescent="0.25"/>
    <row r="205" customFormat="1" ht="14.45" customHeight="1" x14ac:dyDescent="0.25"/>
    <row r="206" customFormat="1" ht="14.45" customHeight="1" x14ac:dyDescent="0.25"/>
    <row r="207" customFormat="1" ht="14.45" customHeight="1" x14ac:dyDescent="0.25"/>
    <row r="208" customFormat="1" ht="14.45" customHeight="1" x14ac:dyDescent="0.25"/>
    <row r="209" customFormat="1" ht="14.45" customHeight="1" x14ac:dyDescent="0.25"/>
    <row r="210" customFormat="1" ht="14.45" customHeight="1" x14ac:dyDescent="0.25"/>
    <row r="211" customFormat="1" ht="14.45" customHeight="1" x14ac:dyDescent="0.25"/>
    <row r="212" customFormat="1" ht="14.45" customHeight="1" x14ac:dyDescent="0.25"/>
    <row r="213" customFormat="1" ht="14.45" customHeight="1" x14ac:dyDescent="0.25"/>
    <row r="214" customFormat="1" ht="14.45" customHeight="1" x14ac:dyDescent="0.25"/>
    <row r="215" customFormat="1" ht="14.45" customHeight="1" x14ac:dyDescent="0.25"/>
    <row r="216" customFormat="1" ht="14.45" customHeight="1" x14ac:dyDescent="0.25"/>
    <row r="217" customFormat="1" ht="14.45" customHeight="1" x14ac:dyDescent="0.25"/>
    <row r="218" customFormat="1" ht="14.45" customHeight="1" x14ac:dyDescent="0.25"/>
    <row r="219" customFormat="1" ht="14.45" customHeight="1" x14ac:dyDescent="0.25"/>
    <row r="220" customFormat="1" ht="14.45" customHeight="1" x14ac:dyDescent="0.25"/>
    <row r="221" customFormat="1" ht="14.45" customHeight="1" x14ac:dyDescent="0.25"/>
    <row r="222" customFormat="1" ht="14.45" customHeight="1" x14ac:dyDescent="0.25"/>
    <row r="223" customFormat="1" ht="14.45" customHeight="1" x14ac:dyDescent="0.25"/>
    <row r="224" customFormat="1" ht="14.45" customHeight="1" x14ac:dyDescent="0.25"/>
    <row r="225" customFormat="1"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sheetData>
  <hyperlinks>
    <hyperlink ref="B21" location="'Revenue projections'!A1" display="Revenue projections" xr:uid="{508855EA-49BA-446C-8CA2-97883FF8BB44}"/>
    <hyperlink ref="B22" location="'SN distribution'!A1" display="Subnational distribution" xr:uid="{968C7399-529D-4D39-AF06-7D5966984D1F}"/>
    <hyperlink ref="B23" location="'LG finances'!A1" display="Local government finances" xr:uid="{A91B36F7-2A9F-4A51-8119-F1E4808C6D9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704C"/>
  </sheetPr>
  <dimension ref="A1:AS163"/>
  <sheetViews>
    <sheetView zoomScale="90" zoomScaleNormal="90" workbookViewId="0">
      <pane ySplit="1" topLeftCell="A2" activePane="bottomLeft" state="frozen"/>
      <selection pane="bottomLeft" activeCell="O7" sqref="O7:Q7"/>
    </sheetView>
  </sheetViews>
  <sheetFormatPr defaultRowHeight="15" x14ac:dyDescent="0.25"/>
  <cols>
    <col min="1" max="1" width="3.7109375" customWidth="1"/>
    <col min="2" max="2" width="53.7109375" bestFit="1" customWidth="1"/>
    <col min="3" max="3" width="10.28515625" style="9" bestFit="1" customWidth="1"/>
    <col min="4" max="6" width="10.28515625" customWidth="1"/>
    <col min="7" max="7" width="12.85546875" bestFit="1" customWidth="1"/>
    <col min="8" max="13" width="10.5703125" bestFit="1" customWidth="1"/>
    <col min="14" max="14" width="13.5703125" bestFit="1" customWidth="1"/>
    <col min="15" max="15" width="11.5703125" bestFit="1" customWidth="1"/>
    <col min="16" max="18" width="10.5703125" bestFit="1" customWidth="1"/>
    <col min="19" max="19" width="11.7109375" bestFit="1" customWidth="1"/>
    <col min="20" max="20" width="10.7109375" bestFit="1" customWidth="1"/>
    <col min="21" max="32" width="10.5703125" bestFit="1" customWidth="1"/>
    <col min="33" max="33" width="9.42578125" bestFit="1" customWidth="1"/>
    <col min="43" max="43" width="8.85546875" customWidth="1"/>
  </cols>
  <sheetData>
    <row r="1" spans="1:45" s="65" customFormat="1" ht="18.75" x14ac:dyDescent="0.3">
      <c r="A1" s="63"/>
      <c r="B1" s="63"/>
      <c r="C1" s="66"/>
      <c r="D1" s="67">
        <v>2022</v>
      </c>
      <c r="E1" s="67">
        <v>2023</v>
      </c>
      <c r="F1" s="67">
        <v>2024</v>
      </c>
      <c r="G1" s="67">
        <v>2025</v>
      </c>
      <c r="H1" s="67">
        <v>2026</v>
      </c>
      <c r="I1" s="67">
        <v>2027</v>
      </c>
      <c r="J1" s="67">
        <v>2028</v>
      </c>
      <c r="K1" s="67">
        <v>2029</v>
      </c>
      <c r="L1" s="67">
        <v>2030</v>
      </c>
      <c r="M1" s="67">
        <v>2031</v>
      </c>
      <c r="N1" s="67">
        <v>2032</v>
      </c>
      <c r="O1" s="67">
        <v>2033</v>
      </c>
      <c r="P1" s="67">
        <v>2034</v>
      </c>
      <c r="Q1" s="67">
        <v>2035</v>
      </c>
      <c r="R1" s="67">
        <v>2036</v>
      </c>
      <c r="S1" s="67">
        <v>2037</v>
      </c>
      <c r="T1" s="67">
        <v>2038</v>
      </c>
      <c r="U1" s="67">
        <v>2039</v>
      </c>
      <c r="V1" s="67">
        <v>2040</v>
      </c>
      <c r="W1" s="67">
        <v>2041</v>
      </c>
      <c r="X1" s="67">
        <v>2042</v>
      </c>
      <c r="Y1" s="67">
        <v>2043</v>
      </c>
      <c r="Z1" s="67">
        <v>2044</v>
      </c>
      <c r="AA1" s="67">
        <v>2045</v>
      </c>
      <c r="AB1" s="67">
        <v>2046</v>
      </c>
      <c r="AC1" s="67">
        <v>2047</v>
      </c>
      <c r="AD1" s="67">
        <v>2048</v>
      </c>
      <c r="AE1" s="67">
        <v>2049</v>
      </c>
      <c r="AF1" s="67">
        <v>2050</v>
      </c>
      <c r="AG1" s="67">
        <v>2051</v>
      </c>
      <c r="AH1" s="67">
        <v>2052</v>
      </c>
      <c r="AI1" s="67">
        <v>2053</v>
      </c>
      <c r="AJ1" s="67">
        <v>2054</v>
      </c>
      <c r="AK1" s="67">
        <v>2055</v>
      </c>
      <c r="AL1" s="67">
        <v>2056</v>
      </c>
      <c r="AM1" s="67">
        <v>2057</v>
      </c>
      <c r="AN1" s="67">
        <v>2058</v>
      </c>
      <c r="AO1" s="67">
        <v>2059</v>
      </c>
      <c r="AP1" s="67">
        <v>2060</v>
      </c>
      <c r="AQ1" s="63"/>
      <c r="AR1" s="63"/>
      <c r="AS1" s="63"/>
    </row>
    <row r="2" spans="1:45" s="65" customFormat="1" ht="18.75" x14ac:dyDescent="0.3">
      <c r="A2" s="63"/>
      <c r="B2" s="64" t="s">
        <v>24</v>
      </c>
      <c r="C2" s="68" t="s">
        <v>25</v>
      </c>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5" x14ac:dyDescent="0.25">
      <c r="B3" t="s">
        <v>26</v>
      </c>
      <c r="D3" s="41">
        <v>0</v>
      </c>
      <c r="E3" s="41">
        <v>0</v>
      </c>
      <c r="F3" s="41">
        <v>0</v>
      </c>
      <c r="G3" s="42">
        <v>70</v>
      </c>
      <c r="H3" s="42">
        <v>130</v>
      </c>
      <c r="I3" s="42">
        <v>230</v>
      </c>
      <c r="J3" s="42">
        <v>230</v>
      </c>
      <c r="K3" s="42">
        <v>230</v>
      </c>
      <c r="L3" s="42">
        <v>230</v>
      </c>
      <c r="M3" s="42">
        <v>230</v>
      </c>
      <c r="N3" s="42">
        <v>228.80693955228128</v>
      </c>
      <c r="O3" s="42">
        <v>219.79093955228123</v>
      </c>
      <c r="P3" s="42">
        <v>206.8078995522813</v>
      </c>
      <c r="Q3" s="42">
        <v>190.53582275228126</v>
      </c>
      <c r="R3" s="42">
        <v>175.56551209628128</v>
      </c>
      <c r="S3" s="42">
        <v>161.79282629276128</v>
      </c>
      <c r="T3" s="42">
        <v>149.12195535352291</v>
      </c>
      <c r="U3" s="42">
        <v>137.46475408942356</v>
      </c>
      <c r="V3" s="42">
        <v>126.74012892645217</v>
      </c>
      <c r="W3" s="42">
        <v>116.87347377651854</v>
      </c>
      <c r="X3" s="42">
        <v>107.79615103857954</v>
      </c>
      <c r="Y3" s="42">
        <v>99.44501411967569</v>
      </c>
      <c r="Z3" s="42">
        <v>91.761968154284148</v>
      </c>
      <c r="AA3" s="42">
        <v>84.693565866123905</v>
      </c>
      <c r="AB3" s="42">
        <v>78.190635761016509</v>
      </c>
      <c r="AC3" s="42">
        <v>72.207940064317683</v>
      </c>
      <c r="AD3" s="42">
        <v>66.703860023354764</v>
      </c>
      <c r="AE3" s="42">
        <v>61.640106385668894</v>
      </c>
      <c r="AF3" s="42">
        <v>56.981453038997884</v>
      </c>
      <c r="AG3" s="42">
        <v>52.695491960060558</v>
      </c>
      <c r="AH3" s="42">
        <v>0</v>
      </c>
      <c r="AI3" s="42">
        <v>0</v>
      </c>
      <c r="AJ3" s="42">
        <v>0</v>
      </c>
      <c r="AK3" s="42">
        <v>0</v>
      </c>
      <c r="AL3" s="42">
        <v>0</v>
      </c>
      <c r="AM3" s="42">
        <v>0</v>
      </c>
      <c r="AN3" s="42">
        <v>0</v>
      </c>
      <c r="AO3" s="42">
        <v>0</v>
      </c>
      <c r="AP3" s="42">
        <v>0</v>
      </c>
    </row>
    <row r="4" spans="1:45" x14ac:dyDescent="0.25">
      <c r="B4" t="s">
        <v>27</v>
      </c>
      <c r="C4" s="10">
        <f>SUM(D4:AP4)</f>
        <v>1400</v>
      </c>
      <c r="D4" s="4">
        <f t="shared" ref="D4:F4" si="0">(D3 * 365) / 1000</f>
        <v>0</v>
      </c>
      <c r="E4" s="4">
        <f t="shared" si="0"/>
        <v>0</v>
      </c>
      <c r="F4" s="4">
        <f t="shared" si="0"/>
        <v>0</v>
      </c>
      <c r="G4" s="4">
        <f>(G3 * 365) / 1000</f>
        <v>25.55</v>
      </c>
      <c r="H4" s="4">
        <f t="shared" ref="H4:AE4" si="1">(H3 * 365) / 1000</f>
        <v>47.45</v>
      </c>
      <c r="I4" s="4">
        <f t="shared" si="1"/>
        <v>83.95</v>
      </c>
      <c r="J4" s="4">
        <f t="shared" si="1"/>
        <v>83.95</v>
      </c>
      <c r="K4" s="4">
        <f t="shared" si="1"/>
        <v>83.95</v>
      </c>
      <c r="L4" s="4">
        <f t="shared" si="1"/>
        <v>83.95</v>
      </c>
      <c r="M4" s="4">
        <f t="shared" si="1"/>
        <v>83.95</v>
      </c>
      <c r="N4" s="4">
        <f t="shared" si="1"/>
        <v>83.514532936582668</v>
      </c>
      <c r="O4" s="4">
        <f t="shared" si="1"/>
        <v>80.223692936582651</v>
      </c>
      <c r="P4" s="4">
        <f t="shared" si="1"/>
        <v>75.484883336582669</v>
      </c>
      <c r="Q4" s="4">
        <f t="shared" si="1"/>
        <v>69.545575304582655</v>
      </c>
      <c r="R4" s="4">
        <f t="shared" si="1"/>
        <v>64.081411915142667</v>
      </c>
      <c r="S4" s="4">
        <f t="shared" si="1"/>
        <v>59.054381596857866</v>
      </c>
      <c r="T4" s="4">
        <f t="shared" si="1"/>
        <v>54.429513704035863</v>
      </c>
      <c r="U4" s="4">
        <f t="shared" si="1"/>
        <v>50.174635242639603</v>
      </c>
      <c r="V4" s="4">
        <f t="shared" si="1"/>
        <v>46.260147058155049</v>
      </c>
      <c r="W4" s="4">
        <f t="shared" si="1"/>
        <v>42.658817928429265</v>
      </c>
      <c r="X4" s="4">
        <f t="shared" si="1"/>
        <v>39.345595129081531</v>
      </c>
      <c r="Y4" s="4">
        <f t="shared" si="1"/>
        <v>36.297430153681624</v>
      </c>
      <c r="Z4" s="4">
        <f t="shared" si="1"/>
        <v>33.493118376313717</v>
      </c>
      <c r="AA4" s="4">
        <f t="shared" si="1"/>
        <v>30.913151541135228</v>
      </c>
      <c r="AB4" s="4">
        <f t="shared" si="1"/>
        <v>28.539582052771028</v>
      </c>
      <c r="AC4" s="4">
        <f t="shared" si="1"/>
        <v>26.355898123475956</v>
      </c>
      <c r="AD4" s="4">
        <f t="shared" si="1"/>
        <v>24.34690890852449</v>
      </c>
      <c r="AE4" s="4">
        <f t="shared" si="1"/>
        <v>22.498638830769146</v>
      </c>
      <c r="AF4" s="4">
        <f t="shared" ref="AF4" si="2">(AF3 * 365) / 1000</f>
        <v>20.798230359234228</v>
      </c>
      <c r="AG4" s="4">
        <f t="shared" ref="AG4" si="3">(AG3 * 365) / 1000</f>
        <v>19.233854565422106</v>
      </c>
      <c r="AH4" s="4">
        <f t="shared" ref="AH4" si="4">(AH3 * 365) / 1000</f>
        <v>0</v>
      </c>
      <c r="AI4" s="4">
        <f t="shared" ref="AI4" si="5">(AI3 * 365) / 1000</f>
        <v>0</v>
      </c>
      <c r="AJ4" s="4">
        <f t="shared" ref="AJ4" si="6">(AJ3 * 365) / 1000</f>
        <v>0</v>
      </c>
      <c r="AK4" s="4">
        <f t="shared" ref="AK4" si="7">(AK3 * 365) / 1000</f>
        <v>0</v>
      </c>
      <c r="AL4" s="4">
        <f t="shared" ref="AL4" si="8">(AL3 * 365) / 1000</f>
        <v>0</v>
      </c>
      <c r="AM4" s="4">
        <f t="shared" ref="AM4" si="9">(AM3 * 365) / 1000</f>
        <v>0</v>
      </c>
      <c r="AN4" s="4">
        <f t="shared" ref="AN4" si="10">(AN3 * 365) / 1000</f>
        <v>0</v>
      </c>
      <c r="AO4" s="4">
        <f t="shared" ref="AO4" si="11">(AO3 * 365) / 1000</f>
        <v>0</v>
      </c>
      <c r="AP4" s="4">
        <f t="shared" ref="AP4" si="12">(AP3 * 365) / 1000</f>
        <v>0</v>
      </c>
    </row>
    <row r="5" spans="1:45" x14ac:dyDescent="0.25">
      <c r="B5" t="s">
        <v>28</v>
      </c>
      <c r="C5" s="43">
        <v>1</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5" x14ac:dyDescent="0.25">
      <c r="B6" t="s">
        <v>29</v>
      </c>
      <c r="C6" s="10">
        <f>SUM(D6:AH6)</f>
        <v>1400</v>
      </c>
      <c r="D6" s="4">
        <f t="shared" ref="D6:F6" si="13">IFERROR(D4 * $C$5, 0)</f>
        <v>0</v>
      </c>
      <c r="E6" s="4">
        <f t="shared" si="13"/>
        <v>0</v>
      </c>
      <c r="F6" s="4">
        <f t="shared" si="13"/>
        <v>0</v>
      </c>
      <c r="G6" s="4">
        <f t="shared" ref="G6:AF6" si="14">IFERROR(G4 * $C$5, 0)</f>
        <v>25.55</v>
      </c>
      <c r="H6" s="4">
        <f t="shared" si="14"/>
        <v>47.45</v>
      </c>
      <c r="I6" s="4">
        <f t="shared" si="14"/>
        <v>83.95</v>
      </c>
      <c r="J6" s="4">
        <f t="shared" si="14"/>
        <v>83.95</v>
      </c>
      <c r="K6" s="4">
        <f t="shared" si="14"/>
        <v>83.95</v>
      </c>
      <c r="L6" s="4">
        <f t="shared" si="14"/>
        <v>83.95</v>
      </c>
      <c r="M6" s="4">
        <f t="shared" si="14"/>
        <v>83.95</v>
      </c>
      <c r="N6" s="4">
        <f t="shared" si="14"/>
        <v>83.514532936582668</v>
      </c>
      <c r="O6" s="4">
        <f t="shared" si="14"/>
        <v>80.223692936582651</v>
      </c>
      <c r="P6" s="4">
        <f t="shared" si="14"/>
        <v>75.484883336582669</v>
      </c>
      <c r="Q6" s="4">
        <f t="shared" si="14"/>
        <v>69.545575304582655</v>
      </c>
      <c r="R6" s="4">
        <f t="shared" si="14"/>
        <v>64.081411915142667</v>
      </c>
      <c r="S6" s="4">
        <f t="shared" si="14"/>
        <v>59.054381596857866</v>
      </c>
      <c r="T6" s="4">
        <f t="shared" si="14"/>
        <v>54.429513704035863</v>
      </c>
      <c r="U6" s="4">
        <f t="shared" si="14"/>
        <v>50.174635242639603</v>
      </c>
      <c r="V6" s="4">
        <f t="shared" si="14"/>
        <v>46.260147058155049</v>
      </c>
      <c r="W6" s="4">
        <f t="shared" si="14"/>
        <v>42.658817928429265</v>
      </c>
      <c r="X6" s="4">
        <f t="shared" si="14"/>
        <v>39.345595129081531</v>
      </c>
      <c r="Y6" s="4">
        <f t="shared" si="14"/>
        <v>36.297430153681624</v>
      </c>
      <c r="Z6" s="4">
        <f t="shared" si="14"/>
        <v>33.493118376313717</v>
      </c>
      <c r="AA6" s="4">
        <f t="shared" si="14"/>
        <v>30.913151541135228</v>
      </c>
      <c r="AB6" s="4">
        <f t="shared" si="14"/>
        <v>28.539582052771028</v>
      </c>
      <c r="AC6" s="4">
        <f t="shared" si="14"/>
        <v>26.355898123475956</v>
      </c>
      <c r="AD6" s="4">
        <f t="shared" si="14"/>
        <v>24.34690890852449</v>
      </c>
      <c r="AE6" s="4">
        <f t="shared" si="14"/>
        <v>22.498638830769146</v>
      </c>
      <c r="AF6" s="4">
        <f t="shared" si="14"/>
        <v>20.798230359234228</v>
      </c>
      <c r="AG6" s="4">
        <f t="shared" ref="AG6:AH6" si="15">IFERROR(AG4 * $C$5, 0)</f>
        <v>19.233854565422106</v>
      </c>
      <c r="AH6" s="4">
        <f t="shared" si="15"/>
        <v>0</v>
      </c>
      <c r="AI6" s="4">
        <f t="shared" ref="AI6:AP6" si="16">IFERROR(AI4 * $C$5, 0)</f>
        <v>0</v>
      </c>
      <c r="AJ6" s="4">
        <f t="shared" si="16"/>
        <v>0</v>
      </c>
      <c r="AK6" s="4">
        <f t="shared" si="16"/>
        <v>0</v>
      </c>
      <c r="AL6" s="4">
        <f t="shared" si="16"/>
        <v>0</v>
      </c>
      <c r="AM6" s="4">
        <f t="shared" si="16"/>
        <v>0</v>
      </c>
      <c r="AN6" s="4">
        <f t="shared" si="16"/>
        <v>0</v>
      </c>
      <c r="AO6" s="4">
        <f t="shared" si="16"/>
        <v>0</v>
      </c>
      <c r="AP6" s="4">
        <f t="shared" si="16"/>
        <v>0</v>
      </c>
    </row>
    <row r="7" spans="1:45" x14ac:dyDescent="0.25">
      <c r="B7" t="s">
        <v>30</v>
      </c>
      <c r="C7" s="10">
        <f>COUNTIF(D6:AP6, "&gt;0")</f>
        <v>27</v>
      </c>
      <c r="D7" s="1"/>
      <c r="E7" s="1"/>
      <c r="F7" s="1"/>
      <c r="G7" s="4"/>
      <c r="H7" s="4"/>
      <c r="I7" s="4"/>
      <c r="J7" s="4"/>
      <c r="K7" s="4"/>
      <c r="L7" s="4"/>
      <c r="M7" s="4"/>
      <c r="N7" s="4"/>
      <c r="O7" s="69"/>
      <c r="P7" s="69"/>
      <c r="Q7" s="69"/>
      <c r="R7" s="4"/>
      <c r="S7" s="4"/>
      <c r="T7" s="4"/>
      <c r="U7" s="4"/>
      <c r="V7" s="4"/>
      <c r="W7" s="4"/>
      <c r="X7" s="4"/>
      <c r="Y7" s="4"/>
      <c r="Z7" s="4"/>
      <c r="AA7" s="4"/>
      <c r="AB7" s="4"/>
      <c r="AC7" s="4"/>
      <c r="AD7" s="4"/>
      <c r="AE7" s="4"/>
      <c r="AF7" s="4"/>
      <c r="AG7" s="4"/>
      <c r="AH7" s="4"/>
      <c r="AI7" s="4"/>
      <c r="AJ7" s="4"/>
      <c r="AK7" s="4"/>
      <c r="AL7" s="4"/>
      <c r="AM7" s="4"/>
      <c r="AN7" s="4"/>
      <c r="AO7" s="4"/>
      <c r="AP7" s="4"/>
    </row>
    <row r="8" spans="1:45" x14ac:dyDescent="0.25">
      <c r="N8" s="1"/>
      <c r="O8" s="1"/>
      <c r="P8" s="1"/>
      <c r="Q8" s="1"/>
      <c r="R8" s="1"/>
      <c r="S8" s="1"/>
      <c r="T8" s="1"/>
      <c r="U8" s="1"/>
      <c r="V8" s="1"/>
      <c r="W8" s="1"/>
      <c r="X8" s="1"/>
      <c r="Y8" s="1"/>
      <c r="Z8" s="1"/>
      <c r="AA8" s="1"/>
      <c r="AB8" s="1"/>
      <c r="AC8" s="1"/>
      <c r="AD8" s="1"/>
      <c r="AE8" s="1"/>
      <c r="AF8" s="1"/>
      <c r="AG8" s="1"/>
    </row>
    <row r="9" spans="1:45" s="65" customFormat="1" ht="18.75" x14ac:dyDescent="0.3">
      <c r="A9" s="63"/>
      <c r="B9" s="64" t="s">
        <v>31</v>
      </c>
      <c r="C9" s="68"/>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pans="1:45" x14ac:dyDescent="0.25">
      <c r="B10" t="s">
        <v>32</v>
      </c>
      <c r="C10" s="9">
        <v>1</v>
      </c>
      <c r="D10" s="41" t="s">
        <v>102</v>
      </c>
      <c r="N10" s="1"/>
      <c r="O10" s="1"/>
      <c r="P10" s="1"/>
      <c r="Q10" s="1"/>
      <c r="R10" s="1"/>
      <c r="S10" s="1"/>
      <c r="T10" s="1"/>
      <c r="U10" s="1"/>
      <c r="V10" s="1"/>
      <c r="W10" s="1"/>
      <c r="X10" s="1"/>
      <c r="Y10" s="1"/>
      <c r="Z10" s="1"/>
      <c r="AA10" s="1"/>
      <c r="AB10" s="1"/>
      <c r="AC10" s="1"/>
      <c r="AD10" s="1"/>
      <c r="AE10" s="1"/>
      <c r="AF10" s="1"/>
      <c r="AG10" s="1"/>
    </row>
    <row r="11" spans="1:45" x14ac:dyDescent="0.25">
      <c r="B11" t="s">
        <v>32</v>
      </c>
      <c r="C11" s="9">
        <v>2</v>
      </c>
      <c r="D11" s="41" t="s">
        <v>103</v>
      </c>
      <c r="N11" s="1"/>
      <c r="O11" s="1"/>
      <c r="P11" s="1"/>
      <c r="Q11" s="1"/>
      <c r="R11" s="1"/>
      <c r="S11" s="1"/>
      <c r="T11" s="1"/>
      <c r="U11" s="1"/>
      <c r="V11" s="1"/>
      <c r="W11" s="1"/>
      <c r="X11" s="1"/>
      <c r="Y11" s="1"/>
      <c r="Z11" s="1"/>
      <c r="AA11" s="1"/>
      <c r="AB11" s="1"/>
      <c r="AC11" s="1"/>
      <c r="AD11" s="1"/>
      <c r="AE11" s="1"/>
      <c r="AF11" s="1"/>
      <c r="AG11" s="1"/>
    </row>
    <row r="12" spans="1:45" x14ac:dyDescent="0.25">
      <c r="B12" t="s">
        <v>32</v>
      </c>
      <c r="C12" s="9">
        <v>3</v>
      </c>
      <c r="D12" s="41" t="s">
        <v>104</v>
      </c>
      <c r="N12" s="1"/>
      <c r="O12" s="1"/>
      <c r="P12" s="1"/>
      <c r="Q12" s="1"/>
      <c r="R12" s="1"/>
      <c r="S12" s="1"/>
      <c r="T12" s="1"/>
      <c r="U12" s="1"/>
      <c r="V12" s="1"/>
      <c r="W12" s="1"/>
      <c r="X12" s="1"/>
      <c r="Y12" s="1"/>
      <c r="Z12" s="1"/>
      <c r="AA12" s="1"/>
      <c r="AB12" s="1"/>
      <c r="AC12" s="1"/>
      <c r="AD12" s="1"/>
      <c r="AE12" s="1"/>
      <c r="AF12" s="1"/>
      <c r="AG12" s="1"/>
    </row>
    <row r="13" spans="1:45" x14ac:dyDescent="0.25">
      <c r="N13" s="1"/>
      <c r="O13" s="1"/>
      <c r="P13" s="1"/>
      <c r="Q13" s="1"/>
      <c r="R13" s="1"/>
      <c r="S13" s="1"/>
      <c r="T13" s="1"/>
      <c r="U13" s="1"/>
      <c r="V13" s="1"/>
      <c r="W13" s="1"/>
      <c r="X13" s="1"/>
      <c r="Y13" s="1"/>
      <c r="Z13" s="1"/>
      <c r="AA13" s="1"/>
      <c r="AB13" s="1"/>
      <c r="AC13" s="1"/>
      <c r="AD13" s="1"/>
      <c r="AE13" s="1"/>
      <c r="AF13" s="1"/>
      <c r="AG13" s="1"/>
    </row>
    <row r="14" spans="1:45" x14ac:dyDescent="0.25">
      <c r="B14" t="s">
        <v>33</v>
      </c>
      <c r="C14" s="9" t="str">
        <f>D10</f>
        <v>NZE</v>
      </c>
      <c r="D14" s="45">
        <v>110</v>
      </c>
      <c r="E14" s="45">
        <v>19.512195121951201</v>
      </c>
      <c r="F14" s="45">
        <v>19.0362879238549</v>
      </c>
      <c r="G14" s="45">
        <v>20.5034749222615</v>
      </c>
      <c r="H14" s="45">
        <v>20.5016623315144</v>
      </c>
      <c r="I14" s="45">
        <v>20.496581401693799</v>
      </c>
      <c r="J14" s="45">
        <v>20.4967968986094</v>
      </c>
      <c r="K14" s="45">
        <v>19.4752898712639</v>
      </c>
      <c r="L14" s="45">
        <v>18.450382536170299</v>
      </c>
      <c r="M14" s="45">
        <v>18.448782188243499</v>
      </c>
      <c r="N14" s="45">
        <v>18.451906904369501</v>
      </c>
      <c r="O14" s="45">
        <v>18.451524478606199</v>
      </c>
      <c r="P14" s="45">
        <v>18.447621110872401</v>
      </c>
      <c r="Q14" s="45">
        <v>18.4474403742609</v>
      </c>
      <c r="R14" s="45">
        <v>18.450447777480999</v>
      </c>
      <c r="S14" s="45">
        <v>18.449239204632601</v>
      </c>
      <c r="T14" s="45">
        <v>18.450586517456699</v>
      </c>
      <c r="U14" s="45">
        <v>18.447465051523601</v>
      </c>
      <c r="V14" s="45">
        <v>17.426889611558298</v>
      </c>
      <c r="W14" s="45">
        <v>16.401336295286701</v>
      </c>
      <c r="X14" s="45">
        <v>15.372725376533801</v>
      </c>
      <c r="Y14" s="45">
        <v>14.3488097128758</v>
      </c>
      <c r="Z14" s="45">
        <v>13.325035816872299</v>
      </c>
      <c r="AA14" s="45">
        <v>12.2973304978269</v>
      </c>
      <c r="AB14" s="45">
        <v>10.250309572771901</v>
      </c>
      <c r="AC14" s="45">
        <v>10.248421199536301</v>
      </c>
      <c r="AD14" s="45">
        <v>10.251052132252299</v>
      </c>
      <c r="AE14" s="45">
        <v>10.247458105014401</v>
      </c>
      <c r="AF14" s="45">
        <v>10.2479589942622</v>
      </c>
      <c r="AG14" s="45">
        <v>10.2479589942622</v>
      </c>
      <c r="AH14" s="45">
        <v>10.2479589942622</v>
      </c>
      <c r="AI14" s="45">
        <v>10.2479589942622</v>
      </c>
      <c r="AJ14" s="45">
        <v>10.2479589942622</v>
      </c>
      <c r="AK14" s="45">
        <v>10.2479589942622</v>
      </c>
      <c r="AL14" s="45">
        <v>10.2479589942622</v>
      </c>
      <c r="AM14" s="45">
        <v>10.2479589942622</v>
      </c>
      <c r="AN14" s="45">
        <v>10.2479589942622</v>
      </c>
      <c r="AO14" s="45">
        <v>10.2479589942622</v>
      </c>
      <c r="AP14" s="45">
        <v>10.2479589942622</v>
      </c>
    </row>
    <row r="15" spans="1:45" x14ac:dyDescent="0.25">
      <c r="B15" t="s">
        <v>33</v>
      </c>
      <c r="C15" s="9" t="str">
        <f t="shared" ref="C15:C16" si="17">D11</f>
        <v>APS</v>
      </c>
      <c r="D15" s="45">
        <v>110</v>
      </c>
      <c r="E15" s="45">
        <v>48.780487804878</v>
      </c>
      <c r="F15" s="45">
        <v>34.265318262938699</v>
      </c>
      <c r="G15" s="45">
        <v>37.143976436789899</v>
      </c>
      <c r="H15" s="45">
        <v>40.767779015988999</v>
      </c>
      <c r="I15" s="45">
        <v>41.5411515176473</v>
      </c>
      <c r="J15" s="45">
        <v>43.1148432980252</v>
      </c>
      <c r="K15" s="45">
        <v>46.269587929587999</v>
      </c>
      <c r="L15" s="45">
        <v>46.782554536346197</v>
      </c>
      <c r="M15" s="45">
        <v>48.043701706132197</v>
      </c>
      <c r="N15" s="45">
        <v>54.683888120800901</v>
      </c>
      <c r="O15" s="45">
        <v>57.160858662858097</v>
      </c>
      <c r="P15" s="45">
        <v>59.484470803624703</v>
      </c>
      <c r="Q15" s="45">
        <v>60.935311554932603</v>
      </c>
      <c r="R15" s="45">
        <v>62.279993226876499</v>
      </c>
      <c r="S15" s="45">
        <v>63.5228312291867</v>
      </c>
      <c r="T15" s="45">
        <v>64.667993616139199</v>
      </c>
      <c r="U15" s="45">
        <v>65.719505707458495</v>
      </c>
      <c r="V15" s="45">
        <v>67.322420480811104</v>
      </c>
      <c r="W15" s="45">
        <v>68.808048807333094</v>
      </c>
      <c r="X15" s="45">
        <v>70.181158428765499</v>
      </c>
      <c r="Y15" s="45">
        <v>71.446354285911895</v>
      </c>
      <c r="Z15" s="45">
        <v>72.608083623894203</v>
      </c>
      <c r="AA15" s="45">
        <v>73.670640945219404</v>
      </c>
      <c r="AB15" s="45">
        <v>74.638172815044101</v>
      </c>
      <c r="AC15" s="45">
        <v>75.514682522899193</v>
      </c>
      <c r="AD15" s="45">
        <v>76.304034605020107</v>
      </c>
      <c r="AE15" s="45">
        <v>77.009959231307107</v>
      </c>
      <c r="AF15" s="45">
        <v>77.636056460829906</v>
      </c>
      <c r="AG15" s="45">
        <v>77.636056460829906</v>
      </c>
      <c r="AH15" s="45">
        <v>77.636056460829906</v>
      </c>
      <c r="AI15" s="45">
        <v>77.636056460829906</v>
      </c>
      <c r="AJ15" s="45">
        <v>77.636056460829906</v>
      </c>
      <c r="AK15" s="45">
        <v>77.636056460829906</v>
      </c>
      <c r="AL15" s="45">
        <v>77.636056460829906</v>
      </c>
      <c r="AM15" s="45">
        <v>77.636056460829906</v>
      </c>
      <c r="AN15" s="45">
        <v>77.636056460829906</v>
      </c>
      <c r="AO15" s="45">
        <v>77.636056460829906</v>
      </c>
      <c r="AP15" s="45">
        <v>77.636056460829906</v>
      </c>
    </row>
    <row r="16" spans="1:45" x14ac:dyDescent="0.25">
      <c r="B16" t="s">
        <v>33</v>
      </c>
      <c r="C16" s="9" t="str">
        <f t="shared" si="17"/>
        <v>OPEC</v>
      </c>
      <c r="D16" s="45">
        <v>110</v>
      </c>
      <c r="E16" s="45">
        <v>73.170731707317103</v>
      </c>
      <c r="F16" s="45">
        <v>45.687091017251603</v>
      </c>
      <c r="G16" s="45">
        <v>46.429970545987402</v>
      </c>
      <c r="H16" s="45">
        <v>48.015384174387002</v>
      </c>
      <c r="I16" s="45">
        <v>55.682820119399601</v>
      </c>
      <c r="J16" s="45">
        <v>56.049296287432803</v>
      </c>
      <c r="K16" s="45">
        <v>54.682240280422199</v>
      </c>
      <c r="L16" s="45">
        <v>53.348527102851001</v>
      </c>
      <c r="M16" s="45">
        <v>52.047343514976603</v>
      </c>
      <c r="N16" s="45">
        <v>50.7778961121723</v>
      </c>
      <c r="O16" s="45">
        <v>49.539410841143699</v>
      </c>
      <c r="P16" s="45">
        <v>59.484470803624703</v>
      </c>
      <c r="Q16" s="45">
        <v>61.6607319305866</v>
      </c>
      <c r="R16" s="45">
        <v>63.6954476183965</v>
      </c>
      <c r="S16" s="45">
        <v>69.046555683898603</v>
      </c>
      <c r="T16" s="45">
        <v>74.098742685159493</v>
      </c>
      <c r="U16" s="45">
        <v>78.863406848950206</v>
      </c>
      <c r="V16" s="45">
        <v>89.763227307748195</v>
      </c>
      <c r="W16" s="45">
        <v>90.000930894326302</v>
      </c>
      <c r="X16" s="45">
        <v>90.002756045461496</v>
      </c>
      <c r="Y16" s="45">
        <v>94.999834295254303</v>
      </c>
      <c r="Z16" s="45">
        <v>95.0004183861614</v>
      </c>
      <c r="AA16" s="45">
        <v>95.001124639166093</v>
      </c>
      <c r="AB16" s="45">
        <v>99.998562611946795</v>
      </c>
      <c r="AC16" s="45">
        <v>99.997621048784097</v>
      </c>
      <c r="AD16" s="45">
        <v>100.000383467913</v>
      </c>
      <c r="AE16" s="45">
        <v>99.999998433784597</v>
      </c>
      <c r="AF16" s="45">
        <v>100.00024644227</v>
      </c>
      <c r="AG16" s="45">
        <v>100.00024644227</v>
      </c>
      <c r="AH16" s="45">
        <v>100.00024644227</v>
      </c>
      <c r="AI16" s="45">
        <v>100.00024644227</v>
      </c>
      <c r="AJ16" s="45">
        <v>100.00024644227</v>
      </c>
      <c r="AK16" s="45">
        <v>100.00024644227</v>
      </c>
      <c r="AL16" s="45">
        <v>100.00024644227</v>
      </c>
      <c r="AM16" s="45">
        <v>100.00024644227</v>
      </c>
      <c r="AN16" s="45">
        <v>100.00024644227</v>
      </c>
      <c r="AO16" s="45">
        <v>100.00024644227</v>
      </c>
      <c r="AP16" s="45">
        <v>100.00024644227</v>
      </c>
    </row>
    <row r="18" spans="1:45" x14ac:dyDescent="0.25">
      <c r="B18" t="s">
        <v>34</v>
      </c>
      <c r="C18" s="46">
        <v>1</v>
      </c>
    </row>
    <row r="19" spans="1:45" x14ac:dyDescent="0.25">
      <c r="B19" t="s">
        <v>35</v>
      </c>
      <c r="C19" s="46">
        <v>13</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5" x14ac:dyDescent="0.25">
      <c r="B20" t="s">
        <v>36</v>
      </c>
      <c r="C20" s="46">
        <v>3</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1:45" x14ac:dyDescent="0.25">
      <c r="B21" t="s">
        <v>37</v>
      </c>
      <c r="C21" s="9">
        <f>SUM(C18:C20)</f>
        <v>17</v>
      </c>
    </row>
    <row r="22" spans="1:45" x14ac:dyDescent="0.25">
      <c r="G22" s="4"/>
    </row>
    <row r="23" spans="1:45" x14ac:dyDescent="0.25">
      <c r="B23" t="s">
        <v>38</v>
      </c>
      <c r="C23" s="9" t="str">
        <f>D10</f>
        <v>NZE</v>
      </c>
      <c r="D23" s="5">
        <f t="shared" ref="D23:F23" si="18">MAX(D14 - $C$21, 0)</f>
        <v>93</v>
      </c>
      <c r="E23" s="5">
        <f t="shared" si="18"/>
        <v>2.5121951219512013</v>
      </c>
      <c r="F23" s="5">
        <f t="shared" si="18"/>
        <v>2.0362879238548999</v>
      </c>
      <c r="G23" s="5">
        <f>MAX(G14 - $C$21, 0)</f>
        <v>3.5034749222614998</v>
      </c>
      <c r="H23" s="5">
        <f t="shared" ref="H23:AF25" si="19">MAX(H14 - $C$21, 0)</f>
        <v>3.5016623315143995</v>
      </c>
      <c r="I23" s="5">
        <f t="shared" si="19"/>
        <v>3.4965814016937991</v>
      </c>
      <c r="J23" s="5">
        <f t="shared" si="19"/>
        <v>3.4967968986094</v>
      </c>
      <c r="K23" s="5">
        <f t="shared" si="19"/>
        <v>2.4752898712639002</v>
      </c>
      <c r="L23" s="5">
        <f t="shared" si="19"/>
        <v>1.4503825361702987</v>
      </c>
      <c r="M23" s="5">
        <f t="shared" si="19"/>
        <v>1.4487821882434986</v>
      </c>
      <c r="N23" s="5">
        <f t="shared" si="19"/>
        <v>1.4519069043695012</v>
      </c>
      <c r="O23" s="5">
        <f t="shared" si="19"/>
        <v>1.4515244786061992</v>
      </c>
      <c r="P23" s="5">
        <f t="shared" si="19"/>
        <v>1.4476211108724009</v>
      </c>
      <c r="Q23" s="5">
        <f t="shared" si="19"/>
        <v>1.4474403742608999</v>
      </c>
      <c r="R23" s="5">
        <f t="shared" si="19"/>
        <v>1.4504477774809992</v>
      </c>
      <c r="S23" s="5">
        <f t="shared" si="19"/>
        <v>1.449239204632601</v>
      </c>
      <c r="T23" s="5">
        <f t="shared" si="19"/>
        <v>1.4505865174566992</v>
      </c>
      <c r="U23" s="5">
        <f t="shared" si="19"/>
        <v>1.4474650515236007</v>
      </c>
      <c r="V23" s="5">
        <f t="shared" si="19"/>
        <v>0.4268896115582983</v>
      </c>
      <c r="W23" s="5">
        <f t="shared" si="19"/>
        <v>0</v>
      </c>
      <c r="X23" s="5">
        <f t="shared" si="19"/>
        <v>0</v>
      </c>
      <c r="Y23" s="5">
        <f t="shared" si="19"/>
        <v>0</v>
      </c>
      <c r="Z23" s="5">
        <f t="shared" si="19"/>
        <v>0</v>
      </c>
      <c r="AA23" s="5">
        <f t="shared" si="19"/>
        <v>0</v>
      </c>
      <c r="AB23" s="5">
        <f t="shared" si="19"/>
        <v>0</v>
      </c>
      <c r="AC23" s="5">
        <f t="shared" si="19"/>
        <v>0</v>
      </c>
      <c r="AD23" s="5">
        <f t="shared" si="19"/>
        <v>0</v>
      </c>
      <c r="AE23" s="5">
        <f t="shared" si="19"/>
        <v>0</v>
      </c>
      <c r="AF23" s="5">
        <f t="shared" si="19"/>
        <v>0</v>
      </c>
      <c r="AG23" s="5">
        <f t="shared" ref="AG23:AH23" si="20">MAX(AG14 - $C$21, 0)</f>
        <v>0</v>
      </c>
      <c r="AH23" s="5">
        <f t="shared" si="20"/>
        <v>0</v>
      </c>
      <c r="AI23" s="5">
        <f t="shared" ref="AI23:AP23" si="21">MAX(AI14 - $C$21, 0)</f>
        <v>0</v>
      </c>
      <c r="AJ23" s="5">
        <f t="shared" si="21"/>
        <v>0</v>
      </c>
      <c r="AK23" s="5">
        <f t="shared" si="21"/>
        <v>0</v>
      </c>
      <c r="AL23" s="5">
        <f t="shared" si="21"/>
        <v>0</v>
      </c>
      <c r="AM23" s="5">
        <f t="shared" si="21"/>
        <v>0</v>
      </c>
      <c r="AN23" s="5">
        <f t="shared" si="21"/>
        <v>0</v>
      </c>
      <c r="AO23" s="5">
        <f t="shared" si="21"/>
        <v>0</v>
      </c>
      <c r="AP23" s="5">
        <f t="shared" si="21"/>
        <v>0</v>
      </c>
    </row>
    <row r="24" spans="1:45" x14ac:dyDescent="0.25">
      <c r="B24" t="s">
        <v>38</v>
      </c>
      <c r="C24" s="9" t="str">
        <f t="shared" ref="C24:C25" si="22">D11</f>
        <v>APS</v>
      </c>
      <c r="D24" s="5">
        <f t="shared" ref="D24:F24" si="23">MAX(D15 - $C$21, 0)</f>
        <v>93</v>
      </c>
      <c r="E24" s="5">
        <f t="shared" si="23"/>
        <v>31.780487804878</v>
      </c>
      <c r="F24" s="5">
        <f t="shared" si="23"/>
        <v>17.265318262938699</v>
      </c>
      <c r="G24" s="5">
        <f t="shared" ref="G24:V25" si="24">MAX(G15 - $C$21, 0)</f>
        <v>20.143976436789899</v>
      </c>
      <c r="H24" s="5">
        <f t="shared" si="24"/>
        <v>23.767779015988999</v>
      </c>
      <c r="I24" s="5">
        <f t="shared" si="24"/>
        <v>24.5411515176473</v>
      </c>
      <c r="J24" s="5">
        <f t="shared" si="24"/>
        <v>26.1148432980252</v>
      </c>
      <c r="K24" s="5">
        <f t="shared" si="24"/>
        <v>29.269587929587999</v>
      </c>
      <c r="L24" s="5">
        <f t="shared" si="24"/>
        <v>29.782554536346197</v>
      </c>
      <c r="M24" s="5">
        <f t="shared" si="24"/>
        <v>31.043701706132197</v>
      </c>
      <c r="N24" s="5">
        <f t="shared" si="24"/>
        <v>37.683888120800901</v>
      </c>
      <c r="O24" s="5">
        <f t="shared" si="24"/>
        <v>40.160858662858097</v>
      </c>
      <c r="P24" s="5">
        <f t="shared" si="24"/>
        <v>42.484470803624703</v>
      </c>
      <c r="Q24" s="5">
        <f t="shared" si="24"/>
        <v>43.935311554932603</v>
      </c>
      <c r="R24" s="5">
        <f t="shared" si="24"/>
        <v>45.279993226876499</v>
      </c>
      <c r="S24" s="5">
        <f t="shared" si="24"/>
        <v>46.5228312291867</v>
      </c>
      <c r="T24" s="5">
        <f t="shared" si="24"/>
        <v>47.667993616139199</v>
      </c>
      <c r="U24" s="5">
        <f t="shared" si="24"/>
        <v>48.719505707458495</v>
      </c>
      <c r="V24" s="5">
        <f t="shared" si="24"/>
        <v>50.322420480811104</v>
      </c>
      <c r="W24" s="5">
        <f t="shared" si="19"/>
        <v>51.808048807333094</v>
      </c>
      <c r="X24" s="5">
        <f t="shared" si="19"/>
        <v>53.181158428765499</v>
      </c>
      <c r="Y24" s="5">
        <f t="shared" si="19"/>
        <v>54.446354285911895</v>
      </c>
      <c r="Z24" s="5">
        <f t="shared" si="19"/>
        <v>55.608083623894203</v>
      </c>
      <c r="AA24" s="5">
        <f t="shared" si="19"/>
        <v>56.670640945219404</v>
      </c>
      <c r="AB24" s="5">
        <f t="shared" si="19"/>
        <v>57.638172815044101</v>
      </c>
      <c r="AC24" s="5">
        <f t="shared" si="19"/>
        <v>58.514682522899193</v>
      </c>
      <c r="AD24" s="5">
        <f t="shared" si="19"/>
        <v>59.304034605020107</v>
      </c>
      <c r="AE24" s="5">
        <f t="shared" si="19"/>
        <v>60.009959231307107</v>
      </c>
      <c r="AF24" s="5">
        <f t="shared" si="19"/>
        <v>60.636056460829906</v>
      </c>
      <c r="AG24" s="5">
        <f t="shared" ref="AG24:AH24" si="25">MAX(AG15 - $C$21, 0)</f>
        <v>60.636056460829906</v>
      </c>
      <c r="AH24" s="5">
        <f t="shared" si="25"/>
        <v>60.636056460829906</v>
      </c>
      <c r="AI24" s="5">
        <f t="shared" ref="AI24:AP24" si="26">MAX(AI15 - $C$21, 0)</f>
        <v>60.636056460829906</v>
      </c>
      <c r="AJ24" s="5">
        <f t="shared" si="26"/>
        <v>60.636056460829906</v>
      </c>
      <c r="AK24" s="5">
        <f t="shared" si="26"/>
        <v>60.636056460829906</v>
      </c>
      <c r="AL24" s="5">
        <f t="shared" si="26"/>
        <v>60.636056460829906</v>
      </c>
      <c r="AM24" s="5">
        <f t="shared" si="26"/>
        <v>60.636056460829906</v>
      </c>
      <c r="AN24" s="5">
        <f t="shared" si="26"/>
        <v>60.636056460829906</v>
      </c>
      <c r="AO24" s="5">
        <f t="shared" si="26"/>
        <v>60.636056460829906</v>
      </c>
      <c r="AP24" s="5">
        <f t="shared" si="26"/>
        <v>60.636056460829906</v>
      </c>
    </row>
    <row r="25" spans="1:45" x14ac:dyDescent="0.25">
      <c r="B25" t="s">
        <v>38</v>
      </c>
      <c r="C25" s="9" t="str">
        <f t="shared" si="22"/>
        <v>OPEC</v>
      </c>
      <c r="D25" s="5">
        <f t="shared" ref="D25:F25" si="27">MAX(D16 - $C$21, 0)</f>
        <v>93</v>
      </c>
      <c r="E25" s="5">
        <f t="shared" si="27"/>
        <v>56.170731707317103</v>
      </c>
      <c r="F25" s="5">
        <f t="shared" si="27"/>
        <v>28.687091017251603</v>
      </c>
      <c r="G25" s="5">
        <f t="shared" si="24"/>
        <v>29.429970545987402</v>
      </c>
      <c r="H25" s="5">
        <f t="shared" si="19"/>
        <v>31.015384174387002</v>
      </c>
      <c r="I25" s="5">
        <f t="shared" si="19"/>
        <v>38.682820119399601</v>
      </c>
      <c r="J25" s="5">
        <f t="shared" si="19"/>
        <v>39.049296287432803</v>
      </c>
      <c r="K25" s="5">
        <f t="shared" si="19"/>
        <v>37.682240280422199</v>
      </c>
      <c r="L25" s="5">
        <f t="shared" si="19"/>
        <v>36.348527102851001</v>
      </c>
      <c r="M25" s="5">
        <f t="shared" si="19"/>
        <v>35.047343514976603</v>
      </c>
      <c r="N25" s="5">
        <f t="shared" si="19"/>
        <v>33.7778961121723</v>
      </c>
      <c r="O25" s="5">
        <f t="shared" si="19"/>
        <v>32.539410841143699</v>
      </c>
      <c r="P25" s="5">
        <f t="shared" si="19"/>
        <v>42.484470803624703</v>
      </c>
      <c r="Q25" s="5">
        <f t="shared" si="19"/>
        <v>44.6607319305866</v>
      </c>
      <c r="R25" s="5">
        <f t="shared" si="19"/>
        <v>46.6954476183965</v>
      </c>
      <c r="S25" s="5">
        <f t="shared" si="19"/>
        <v>52.046555683898603</v>
      </c>
      <c r="T25" s="5">
        <f t="shared" si="19"/>
        <v>57.098742685159493</v>
      </c>
      <c r="U25" s="5">
        <f t="shared" si="19"/>
        <v>61.863406848950206</v>
      </c>
      <c r="V25" s="5">
        <f t="shared" si="19"/>
        <v>72.763227307748195</v>
      </c>
      <c r="W25" s="5">
        <f t="shared" si="19"/>
        <v>73.000930894326302</v>
      </c>
      <c r="X25" s="5">
        <f t="shared" si="19"/>
        <v>73.002756045461496</v>
      </c>
      <c r="Y25" s="5">
        <f t="shared" si="19"/>
        <v>77.999834295254303</v>
      </c>
      <c r="Z25" s="5">
        <f t="shared" si="19"/>
        <v>78.0004183861614</v>
      </c>
      <c r="AA25" s="5">
        <f t="shared" si="19"/>
        <v>78.001124639166093</v>
      </c>
      <c r="AB25" s="5">
        <f t="shared" si="19"/>
        <v>82.998562611946795</v>
      </c>
      <c r="AC25" s="5">
        <f t="shared" si="19"/>
        <v>82.997621048784097</v>
      </c>
      <c r="AD25" s="5">
        <f t="shared" si="19"/>
        <v>83.000383467912997</v>
      </c>
      <c r="AE25" s="5">
        <f t="shared" si="19"/>
        <v>82.999998433784597</v>
      </c>
      <c r="AF25" s="5">
        <f t="shared" si="19"/>
        <v>83.000246442269997</v>
      </c>
      <c r="AG25" s="5">
        <f t="shared" ref="AG25:AH25" si="28">MAX(AG16 - $C$21, 0)</f>
        <v>83.000246442269997</v>
      </c>
      <c r="AH25" s="5">
        <f t="shared" si="28"/>
        <v>83.000246442269997</v>
      </c>
      <c r="AI25" s="5">
        <f t="shared" ref="AI25:AP25" si="29">MAX(AI16 - $C$21, 0)</f>
        <v>83.000246442269997</v>
      </c>
      <c r="AJ25" s="5">
        <f t="shared" si="29"/>
        <v>83.000246442269997</v>
      </c>
      <c r="AK25" s="5">
        <f t="shared" si="29"/>
        <v>83.000246442269997</v>
      </c>
      <c r="AL25" s="5">
        <f t="shared" si="29"/>
        <v>83.000246442269997</v>
      </c>
      <c r="AM25" s="5">
        <f t="shared" si="29"/>
        <v>83.000246442269997</v>
      </c>
      <c r="AN25" s="5">
        <f t="shared" si="29"/>
        <v>83.000246442269997</v>
      </c>
      <c r="AO25" s="5">
        <f t="shared" si="29"/>
        <v>83.000246442269997</v>
      </c>
      <c r="AP25" s="5">
        <f t="shared" si="29"/>
        <v>83.000246442269997</v>
      </c>
    </row>
    <row r="27" spans="1:45" s="65" customFormat="1" ht="18.75" x14ac:dyDescent="0.3">
      <c r="A27" s="63"/>
      <c r="B27" s="64" t="s">
        <v>39</v>
      </c>
      <c r="C27" s="68"/>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row>
    <row r="28" spans="1:45" x14ac:dyDescent="0.25">
      <c r="B28" s="15" t="s">
        <v>40</v>
      </c>
    </row>
    <row r="29" spans="1:45" x14ac:dyDescent="0.25">
      <c r="B29" t="s">
        <v>41</v>
      </c>
      <c r="C29" s="9" t="str">
        <f>D10</f>
        <v>NZE</v>
      </c>
      <c r="D29" s="4">
        <f t="shared" ref="D29:F29" si="30">D6 * D23</f>
        <v>0</v>
      </c>
      <c r="E29" s="4">
        <f t="shared" si="30"/>
        <v>0</v>
      </c>
      <c r="F29" s="4">
        <f t="shared" si="30"/>
        <v>0</v>
      </c>
      <c r="G29" s="4">
        <f>G6 * G23</f>
        <v>89.513784263781318</v>
      </c>
      <c r="H29" s="4">
        <f t="shared" ref="H29:AP29" si="31">H6 * H23</f>
        <v>166.15387763035827</v>
      </c>
      <c r="I29" s="4">
        <f t="shared" si="31"/>
        <v>293.53800867219445</v>
      </c>
      <c r="J29" s="4">
        <f t="shared" si="31"/>
        <v>293.55609963825913</v>
      </c>
      <c r="K29" s="4">
        <f t="shared" si="31"/>
        <v>207.80058469260442</v>
      </c>
      <c r="L29" s="4">
        <f t="shared" si="31"/>
        <v>121.75961391149657</v>
      </c>
      <c r="M29" s="4">
        <f t="shared" si="31"/>
        <v>121.62526470304171</v>
      </c>
      <c r="N29" s="4">
        <f t="shared" si="31"/>
        <v>121.25532698581848</v>
      </c>
      <c r="O29" s="4">
        <f t="shared" si="31"/>
        <v>116.44665406163695</v>
      </c>
      <c r="P29" s="4">
        <f t="shared" si="31"/>
        <v>109.27351066977738</v>
      </c>
      <c r="Q29" s="4">
        <f t="shared" si="31"/>
        <v>100.66307354705472</v>
      </c>
      <c r="R29" s="4">
        <f t="shared" si="31"/>
        <v>92.946741490163106</v>
      </c>
      <c r="S29" s="4">
        <f t="shared" si="31"/>
        <v>85.583925015500398</v>
      </c>
      <c r="T29" s="4">
        <f t="shared" si="31"/>
        <v>78.954718730799073</v>
      </c>
      <c r="U29" s="4">
        <f t="shared" si="31"/>
        <v>72.626030986665199</v>
      </c>
      <c r="V29" s="4">
        <f t="shared" si="31"/>
        <v>19.747976208285564</v>
      </c>
      <c r="W29" s="4">
        <f t="shared" si="31"/>
        <v>0</v>
      </c>
      <c r="X29" s="4">
        <f t="shared" si="31"/>
        <v>0</v>
      </c>
      <c r="Y29" s="4">
        <f t="shared" si="31"/>
        <v>0</v>
      </c>
      <c r="Z29" s="4">
        <f t="shared" si="31"/>
        <v>0</v>
      </c>
      <c r="AA29" s="4">
        <f t="shared" si="31"/>
        <v>0</v>
      </c>
      <c r="AB29" s="4">
        <f t="shared" si="31"/>
        <v>0</v>
      </c>
      <c r="AC29" s="4">
        <f t="shared" si="31"/>
        <v>0</v>
      </c>
      <c r="AD29" s="4">
        <f t="shared" si="31"/>
        <v>0</v>
      </c>
      <c r="AE29" s="4">
        <f t="shared" si="31"/>
        <v>0</v>
      </c>
      <c r="AF29" s="4">
        <f t="shared" si="31"/>
        <v>0</v>
      </c>
      <c r="AG29" s="4">
        <f t="shared" si="31"/>
        <v>0</v>
      </c>
      <c r="AH29" s="4">
        <f t="shared" si="31"/>
        <v>0</v>
      </c>
      <c r="AI29" s="4">
        <f t="shared" si="31"/>
        <v>0</v>
      </c>
      <c r="AJ29" s="4">
        <f t="shared" si="31"/>
        <v>0</v>
      </c>
      <c r="AK29" s="4">
        <f t="shared" si="31"/>
        <v>0</v>
      </c>
      <c r="AL29" s="4">
        <f t="shared" si="31"/>
        <v>0</v>
      </c>
      <c r="AM29" s="4">
        <f t="shared" si="31"/>
        <v>0</v>
      </c>
      <c r="AN29" s="4">
        <f t="shared" si="31"/>
        <v>0</v>
      </c>
      <c r="AO29" s="4">
        <f t="shared" si="31"/>
        <v>0</v>
      </c>
      <c r="AP29" s="4">
        <f t="shared" si="31"/>
        <v>0</v>
      </c>
    </row>
    <row r="30" spans="1:45" x14ac:dyDescent="0.25">
      <c r="B30" t="s">
        <v>41</v>
      </c>
      <c r="C30" s="9" t="str">
        <f>D11</f>
        <v>APS</v>
      </c>
      <c r="D30" s="4">
        <f t="shared" ref="D30:F30" si="32">D6 * D24</f>
        <v>0</v>
      </c>
      <c r="E30" s="4">
        <f t="shared" si="32"/>
        <v>0</v>
      </c>
      <c r="F30" s="4">
        <f t="shared" si="32"/>
        <v>0</v>
      </c>
      <c r="G30" s="4">
        <f>G6 * G24</f>
        <v>514.67859795998197</v>
      </c>
      <c r="H30" s="4">
        <f t="shared" ref="H30:AP30" si="33">H6 * H24</f>
        <v>1127.7811143086781</v>
      </c>
      <c r="I30" s="4">
        <f t="shared" si="33"/>
        <v>2060.2296699064909</v>
      </c>
      <c r="J30" s="4">
        <f t="shared" si="33"/>
        <v>2192.3410948692158</v>
      </c>
      <c r="K30" s="4">
        <f t="shared" si="33"/>
        <v>2457.1819066889125</v>
      </c>
      <c r="L30" s="4">
        <f t="shared" si="33"/>
        <v>2500.2454533262635</v>
      </c>
      <c r="M30" s="4">
        <f t="shared" si="33"/>
        <v>2606.118758229798</v>
      </c>
      <c r="N30" s="4">
        <f t="shared" si="33"/>
        <v>3147.1523156431231</v>
      </c>
      <c r="O30" s="4">
        <f t="shared" si="33"/>
        <v>3221.852393438623</v>
      </c>
      <c r="P30" s="4">
        <f t="shared" si="33"/>
        <v>3206.9353222280633</v>
      </c>
      <c r="Q30" s="4">
        <f t="shared" si="33"/>
        <v>3055.5065182738658</v>
      </c>
      <c r="R30" s="4">
        <f t="shared" si="33"/>
        <v>2901.6058974863431</v>
      </c>
      <c r="S30" s="4">
        <f t="shared" si="33"/>
        <v>2747.3770283746076</v>
      </c>
      <c r="T30" s="4">
        <f t="shared" si="33"/>
        <v>2594.5457117735427</v>
      </c>
      <c r="U30" s="4">
        <f t="shared" si="33"/>
        <v>2444.4834280734285</v>
      </c>
      <c r="V30" s="4">
        <f t="shared" si="33"/>
        <v>2327.922571764635</v>
      </c>
      <c r="W30" s="4">
        <f t="shared" si="33"/>
        <v>2210.0701212991994</v>
      </c>
      <c r="X30" s="4">
        <f t="shared" si="33"/>
        <v>2092.4443280337491</v>
      </c>
      <c r="Y30" s="4">
        <f t="shared" si="33"/>
        <v>1976.2627418154912</v>
      </c>
      <c r="Z30" s="4">
        <f t="shared" si="33"/>
        <v>1862.4881274950408</v>
      </c>
      <c r="AA30" s="4">
        <f t="shared" si="33"/>
        <v>1751.8681114728304</v>
      </c>
      <c r="AB30" s="4">
        <f t="shared" si="33"/>
        <v>1644.9693624267475</v>
      </c>
      <c r="AC30" s="4">
        <f t="shared" si="33"/>
        <v>1542.2070113010702</v>
      </c>
      <c r="AD30" s="4">
        <f t="shared" si="33"/>
        <v>1443.8699284364086</v>
      </c>
      <c r="AE30" s="4">
        <f t="shared" si="33"/>
        <v>1350.1423989943594</v>
      </c>
      <c r="AF30" s="4">
        <f t="shared" si="33"/>
        <v>1261.1226703478733</v>
      </c>
      <c r="AG30" s="4">
        <f t="shared" si="33"/>
        <v>1166.2650913883258</v>
      </c>
      <c r="AH30" s="4">
        <f t="shared" si="33"/>
        <v>0</v>
      </c>
      <c r="AI30" s="4">
        <f t="shared" si="33"/>
        <v>0</v>
      </c>
      <c r="AJ30" s="4">
        <f t="shared" si="33"/>
        <v>0</v>
      </c>
      <c r="AK30" s="4">
        <f t="shared" si="33"/>
        <v>0</v>
      </c>
      <c r="AL30" s="4">
        <f t="shared" si="33"/>
        <v>0</v>
      </c>
      <c r="AM30" s="4">
        <f t="shared" si="33"/>
        <v>0</v>
      </c>
      <c r="AN30" s="4">
        <f t="shared" si="33"/>
        <v>0</v>
      </c>
      <c r="AO30" s="4">
        <f t="shared" si="33"/>
        <v>0</v>
      </c>
      <c r="AP30" s="4">
        <f t="shared" si="33"/>
        <v>0</v>
      </c>
    </row>
    <row r="31" spans="1:45" x14ac:dyDescent="0.25">
      <c r="B31" t="s">
        <v>41</v>
      </c>
      <c r="C31" s="9" t="str">
        <f>D12</f>
        <v>OPEC</v>
      </c>
      <c r="D31" s="4">
        <f t="shared" ref="D31:F31" si="34">D6 * D25</f>
        <v>0</v>
      </c>
      <c r="E31" s="4">
        <f t="shared" si="34"/>
        <v>0</v>
      </c>
      <c r="F31" s="4">
        <f t="shared" si="34"/>
        <v>0</v>
      </c>
      <c r="G31" s="4">
        <f>G6 * G25</f>
        <v>751.93574744997818</v>
      </c>
      <c r="H31" s="4">
        <f t="shared" ref="H31:AP31" si="35">H6 * H25</f>
        <v>1471.6799790746634</v>
      </c>
      <c r="I31" s="4">
        <f t="shared" si="35"/>
        <v>3247.4227490235967</v>
      </c>
      <c r="J31" s="4">
        <f t="shared" si="35"/>
        <v>3278.1884233299838</v>
      </c>
      <c r="K31" s="4">
        <f t="shared" si="35"/>
        <v>3163.4240715414439</v>
      </c>
      <c r="L31" s="4">
        <f t="shared" si="35"/>
        <v>3051.4588502843417</v>
      </c>
      <c r="M31" s="4">
        <f t="shared" si="35"/>
        <v>2942.2244880822859</v>
      </c>
      <c r="N31" s="4">
        <f t="shared" si="35"/>
        <v>2820.9452173884811</v>
      </c>
      <c r="O31" s="4">
        <f t="shared" si="35"/>
        <v>2610.4317036572206</v>
      </c>
      <c r="P31" s="4">
        <f t="shared" si="35"/>
        <v>3206.9353222280633</v>
      </c>
      <c r="Q31" s="4">
        <f t="shared" si="35"/>
        <v>3105.9562956363893</v>
      </c>
      <c r="R31" s="4">
        <f t="shared" si="35"/>
        <v>2992.3102133964339</v>
      </c>
      <c r="S31" s="4">
        <f t="shared" si="35"/>
        <v>3073.57716015906</v>
      </c>
      <c r="T31" s="4">
        <f t="shared" si="35"/>
        <v>3107.856797465106</v>
      </c>
      <c r="U31" s="4">
        <f t="shared" si="35"/>
        <v>3103.9738735130891</v>
      </c>
      <c r="V31" s="4">
        <f t="shared" si="35"/>
        <v>3366.0375956823946</v>
      </c>
      <c r="W31" s="4">
        <f t="shared" si="35"/>
        <v>3114.1334196269127</v>
      </c>
      <c r="X31" s="4">
        <f t="shared" si="35"/>
        <v>2872.336882671837</v>
      </c>
      <c r="Y31" s="4">
        <f t="shared" si="35"/>
        <v>2831.1935373307338</v>
      </c>
      <c r="Z31" s="4">
        <f t="shared" si="35"/>
        <v>2612.4772464097009</v>
      </c>
      <c r="AA31" s="4">
        <f t="shared" si="35"/>
        <v>2411.2605863495182</v>
      </c>
      <c r="AB31" s="4">
        <f t="shared" si="35"/>
        <v>2368.7442879257092</v>
      </c>
      <c r="AC31" s="4">
        <f t="shared" si="35"/>
        <v>2187.4768448526174</v>
      </c>
      <c r="AD31" s="4">
        <f t="shared" si="35"/>
        <v>2020.8027756658798</v>
      </c>
      <c r="AE31" s="4">
        <f t="shared" si="35"/>
        <v>1867.3869877161244</v>
      </c>
      <c r="AF31" s="4">
        <f t="shared" si="35"/>
        <v>1726.2582453795426</v>
      </c>
      <c r="AG31" s="4">
        <f t="shared" si="35"/>
        <v>1596.4146689648148</v>
      </c>
      <c r="AH31" s="4">
        <f t="shared" si="35"/>
        <v>0</v>
      </c>
      <c r="AI31" s="4">
        <f t="shared" si="35"/>
        <v>0</v>
      </c>
      <c r="AJ31" s="4">
        <f t="shared" si="35"/>
        <v>0</v>
      </c>
      <c r="AK31" s="4">
        <f t="shared" si="35"/>
        <v>0</v>
      </c>
      <c r="AL31" s="4">
        <f t="shared" si="35"/>
        <v>0</v>
      </c>
      <c r="AM31" s="4">
        <f t="shared" si="35"/>
        <v>0</v>
      </c>
      <c r="AN31" s="4">
        <f t="shared" si="35"/>
        <v>0</v>
      </c>
      <c r="AO31" s="4">
        <f t="shared" si="35"/>
        <v>0</v>
      </c>
      <c r="AP31" s="4">
        <f t="shared" si="35"/>
        <v>0</v>
      </c>
    </row>
    <row r="33" spans="2:42" x14ac:dyDescent="0.25">
      <c r="B33" s="8" t="s">
        <v>42</v>
      </c>
    </row>
    <row r="34" spans="2:42" x14ac:dyDescent="0.25">
      <c r="B34" t="s">
        <v>42</v>
      </c>
      <c r="C34" s="47">
        <v>0.125</v>
      </c>
      <c r="D34" s="7"/>
      <c r="E34" s="7"/>
      <c r="F34" s="7"/>
    </row>
    <row r="36" spans="2:42" x14ac:dyDescent="0.25">
      <c r="B36" t="s">
        <v>43</v>
      </c>
      <c r="C36" s="9" t="str">
        <f>D10</f>
        <v>NZE</v>
      </c>
      <c r="D36" s="4">
        <f t="shared" ref="D36:AP36" si="36">IFERROR(D29 * $C$34, 0)</f>
        <v>0</v>
      </c>
      <c r="E36" s="4">
        <f t="shared" si="36"/>
        <v>0</v>
      </c>
      <c r="F36" s="4">
        <f t="shared" si="36"/>
        <v>0</v>
      </c>
      <c r="G36" s="4">
        <f t="shared" si="36"/>
        <v>11.189223032972665</v>
      </c>
      <c r="H36" s="4">
        <f t="shared" si="36"/>
        <v>20.769234703794783</v>
      </c>
      <c r="I36" s="4">
        <f t="shared" si="36"/>
        <v>36.692251084024306</v>
      </c>
      <c r="J36" s="4">
        <f t="shared" si="36"/>
        <v>36.694512454782391</v>
      </c>
      <c r="K36" s="4">
        <f t="shared" si="36"/>
        <v>25.975073086575552</v>
      </c>
      <c r="L36" s="4">
        <f t="shared" si="36"/>
        <v>15.219951738937072</v>
      </c>
      <c r="M36" s="4">
        <f t="shared" si="36"/>
        <v>15.203158087880214</v>
      </c>
      <c r="N36" s="4">
        <f t="shared" si="36"/>
        <v>15.156915873227311</v>
      </c>
      <c r="O36" s="4">
        <f t="shared" si="36"/>
        <v>14.555831757704619</v>
      </c>
      <c r="P36" s="4">
        <f t="shared" si="36"/>
        <v>13.659188833722173</v>
      </c>
      <c r="Q36" s="4">
        <f t="shared" si="36"/>
        <v>12.58288419338184</v>
      </c>
      <c r="R36" s="4">
        <f t="shared" si="36"/>
        <v>11.618342686270388</v>
      </c>
      <c r="S36" s="4">
        <f t="shared" si="36"/>
        <v>10.69799062693755</v>
      </c>
      <c r="T36" s="4">
        <f t="shared" si="36"/>
        <v>9.8693398413498841</v>
      </c>
      <c r="U36" s="4">
        <f t="shared" si="36"/>
        <v>9.0782538733331499</v>
      </c>
      <c r="V36" s="4">
        <f t="shared" si="36"/>
        <v>2.4684970260356955</v>
      </c>
      <c r="W36" s="4">
        <f t="shared" si="36"/>
        <v>0</v>
      </c>
      <c r="X36" s="4">
        <f t="shared" si="36"/>
        <v>0</v>
      </c>
      <c r="Y36" s="4">
        <f t="shared" si="36"/>
        <v>0</v>
      </c>
      <c r="Z36" s="4">
        <f t="shared" si="36"/>
        <v>0</v>
      </c>
      <c r="AA36" s="4">
        <f t="shared" si="36"/>
        <v>0</v>
      </c>
      <c r="AB36" s="4">
        <f t="shared" si="36"/>
        <v>0</v>
      </c>
      <c r="AC36" s="4">
        <f t="shared" si="36"/>
        <v>0</v>
      </c>
      <c r="AD36" s="4">
        <f t="shared" si="36"/>
        <v>0</v>
      </c>
      <c r="AE36" s="4">
        <f t="shared" si="36"/>
        <v>0</v>
      </c>
      <c r="AF36" s="4">
        <f t="shared" si="36"/>
        <v>0</v>
      </c>
      <c r="AG36" s="4">
        <f t="shared" si="36"/>
        <v>0</v>
      </c>
      <c r="AH36" s="4">
        <f t="shared" si="36"/>
        <v>0</v>
      </c>
      <c r="AI36" s="4">
        <f t="shared" si="36"/>
        <v>0</v>
      </c>
      <c r="AJ36" s="4">
        <f t="shared" si="36"/>
        <v>0</v>
      </c>
      <c r="AK36" s="4">
        <f t="shared" si="36"/>
        <v>0</v>
      </c>
      <c r="AL36" s="4">
        <f t="shared" si="36"/>
        <v>0</v>
      </c>
      <c r="AM36" s="4">
        <f t="shared" si="36"/>
        <v>0</v>
      </c>
      <c r="AN36" s="4">
        <f t="shared" si="36"/>
        <v>0</v>
      </c>
      <c r="AO36" s="4">
        <f t="shared" si="36"/>
        <v>0</v>
      </c>
      <c r="AP36" s="4">
        <f t="shared" si="36"/>
        <v>0</v>
      </c>
    </row>
    <row r="37" spans="2:42" x14ac:dyDescent="0.25">
      <c r="B37" t="s">
        <v>43</v>
      </c>
      <c r="C37" s="9" t="str">
        <f>D11</f>
        <v>APS</v>
      </c>
      <c r="D37" s="4">
        <f t="shared" ref="D37:AP37" si="37">IFERROR(D30 * $C$34, 0)</f>
        <v>0</v>
      </c>
      <c r="E37" s="4">
        <f t="shared" si="37"/>
        <v>0</v>
      </c>
      <c r="F37" s="4">
        <f t="shared" si="37"/>
        <v>0</v>
      </c>
      <c r="G37" s="4">
        <f t="shared" si="37"/>
        <v>64.334824744997746</v>
      </c>
      <c r="H37" s="4">
        <f t="shared" si="37"/>
        <v>140.97263928858476</v>
      </c>
      <c r="I37" s="4">
        <f t="shared" si="37"/>
        <v>257.52870873831137</v>
      </c>
      <c r="J37" s="4">
        <f t="shared" si="37"/>
        <v>274.04263685865197</v>
      </c>
      <c r="K37" s="4">
        <f t="shared" si="37"/>
        <v>307.14773833611406</v>
      </c>
      <c r="L37" s="4">
        <f t="shared" si="37"/>
        <v>312.53068166578294</v>
      </c>
      <c r="M37" s="4">
        <f t="shared" si="37"/>
        <v>325.76484477872475</v>
      </c>
      <c r="N37" s="4">
        <f t="shared" si="37"/>
        <v>393.39403945539038</v>
      </c>
      <c r="O37" s="4">
        <f t="shared" si="37"/>
        <v>402.73154917982788</v>
      </c>
      <c r="P37" s="4">
        <f t="shared" si="37"/>
        <v>400.86691527850792</v>
      </c>
      <c r="Q37" s="4">
        <f t="shared" si="37"/>
        <v>381.93831478423323</v>
      </c>
      <c r="R37" s="4">
        <f t="shared" si="37"/>
        <v>362.70073718579289</v>
      </c>
      <c r="S37" s="4">
        <f t="shared" si="37"/>
        <v>343.42212854682595</v>
      </c>
      <c r="T37" s="4">
        <f t="shared" si="37"/>
        <v>324.31821397169284</v>
      </c>
      <c r="U37" s="4">
        <f t="shared" si="37"/>
        <v>305.56042850917856</v>
      </c>
      <c r="V37" s="4">
        <f t="shared" si="37"/>
        <v>290.99032147057937</v>
      </c>
      <c r="W37" s="4">
        <f t="shared" si="37"/>
        <v>276.25876516239992</v>
      </c>
      <c r="X37" s="4">
        <f t="shared" si="37"/>
        <v>261.55554100421864</v>
      </c>
      <c r="Y37" s="4">
        <f t="shared" si="37"/>
        <v>247.03284272693639</v>
      </c>
      <c r="Z37" s="4">
        <f t="shared" si="37"/>
        <v>232.8110159368801</v>
      </c>
      <c r="AA37" s="4">
        <f t="shared" si="37"/>
        <v>218.9835139341038</v>
      </c>
      <c r="AB37" s="4">
        <f t="shared" si="37"/>
        <v>205.62117030334343</v>
      </c>
      <c r="AC37" s="4">
        <f t="shared" si="37"/>
        <v>192.77587641263378</v>
      </c>
      <c r="AD37" s="4">
        <f t="shared" si="37"/>
        <v>180.48374105455107</v>
      </c>
      <c r="AE37" s="4">
        <f t="shared" si="37"/>
        <v>168.76779987429492</v>
      </c>
      <c r="AF37" s="4">
        <f t="shared" si="37"/>
        <v>157.64033379348416</v>
      </c>
      <c r="AG37" s="4">
        <f t="shared" si="37"/>
        <v>145.78313642354072</v>
      </c>
      <c r="AH37" s="4">
        <f t="shared" si="37"/>
        <v>0</v>
      </c>
      <c r="AI37" s="4">
        <f t="shared" si="37"/>
        <v>0</v>
      </c>
      <c r="AJ37" s="4">
        <f t="shared" si="37"/>
        <v>0</v>
      </c>
      <c r="AK37" s="4">
        <f t="shared" si="37"/>
        <v>0</v>
      </c>
      <c r="AL37" s="4">
        <f t="shared" si="37"/>
        <v>0</v>
      </c>
      <c r="AM37" s="4">
        <f t="shared" si="37"/>
        <v>0</v>
      </c>
      <c r="AN37" s="4">
        <f t="shared" si="37"/>
        <v>0</v>
      </c>
      <c r="AO37" s="4">
        <f t="shared" si="37"/>
        <v>0</v>
      </c>
      <c r="AP37" s="4">
        <f t="shared" si="37"/>
        <v>0</v>
      </c>
    </row>
    <row r="38" spans="2:42" x14ac:dyDescent="0.25">
      <c r="B38" t="s">
        <v>43</v>
      </c>
      <c r="C38" s="9" t="str">
        <f>D12</f>
        <v>OPEC</v>
      </c>
      <c r="D38" s="4">
        <f t="shared" ref="D38:AP38" si="38">IFERROR(D31 * $C$34, 0)</f>
        <v>0</v>
      </c>
      <c r="E38" s="4">
        <f t="shared" si="38"/>
        <v>0</v>
      </c>
      <c r="F38" s="4">
        <f t="shared" si="38"/>
        <v>0</v>
      </c>
      <c r="G38" s="4">
        <f t="shared" si="38"/>
        <v>93.991968431247273</v>
      </c>
      <c r="H38" s="4">
        <f t="shared" si="38"/>
        <v>183.95999738433292</v>
      </c>
      <c r="I38" s="4">
        <f t="shared" si="38"/>
        <v>405.92784362794958</v>
      </c>
      <c r="J38" s="4">
        <f t="shared" si="38"/>
        <v>409.77355291624798</v>
      </c>
      <c r="K38" s="4">
        <f t="shared" si="38"/>
        <v>395.42800894268049</v>
      </c>
      <c r="L38" s="4">
        <f t="shared" si="38"/>
        <v>381.43235628554271</v>
      </c>
      <c r="M38" s="4">
        <f t="shared" si="38"/>
        <v>367.77806101028574</v>
      </c>
      <c r="N38" s="4">
        <f t="shared" si="38"/>
        <v>352.61815217356013</v>
      </c>
      <c r="O38" s="4">
        <f t="shared" si="38"/>
        <v>326.30396295715258</v>
      </c>
      <c r="P38" s="4">
        <f t="shared" si="38"/>
        <v>400.86691527850792</v>
      </c>
      <c r="Q38" s="4">
        <f t="shared" si="38"/>
        <v>388.24453695454866</v>
      </c>
      <c r="R38" s="4">
        <f t="shared" si="38"/>
        <v>374.03877667455424</v>
      </c>
      <c r="S38" s="4">
        <f t="shared" si="38"/>
        <v>384.1971450198825</v>
      </c>
      <c r="T38" s="4">
        <f t="shared" si="38"/>
        <v>388.48209968313824</v>
      </c>
      <c r="U38" s="4">
        <f t="shared" si="38"/>
        <v>387.99673418913613</v>
      </c>
      <c r="V38" s="4">
        <f t="shared" si="38"/>
        <v>420.75469946029932</v>
      </c>
      <c r="W38" s="4">
        <f t="shared" si="38"/>
        <v>389.26667745336408</v>
      </c>
      <c r="X38" s="4">
        <f t="shared" si="38"/>
        <v>359.04211033397962</v>
      </c>
      <c r="Y38" s="4">
        <f t="shared" si="38"/>
        <v>353.89919216634172</v>
      </c>
      <c r="Z38" s="4">
        <f t="shared" si="38"/>
        <v>326.55965580121261</v>
      </c>
      <c r="AA38" s="4">
        <f t="shared" si="38"/>
        <v>301.40757329368978</v>
      </c>
      <c r="AB38" s="4">
        <f t="shared" si="38"/>
        <v>296.09303599071364</v>
      </c>
      <c r="AC38" s="4">
        <f t="shared" si="38"/>
        <v>273.43460560657718</v>
      </c>
      <c r="AD38" s="4">
        <f t="shared" si="38"/>
        <v>252.60034695823498</v>
      </c>
      <c r="AE38" s="4">
        <f t="shared" si="38"/>
        <v>233.42337346451555</v>
      </c>
      <c r="AF38" s="4">
        <f t="shared" si="38"/>
        <v>215.78228067244282</v>
      </c>
      <c r="AG38" s="4">
        <f t="shared" si="38"/>
        <v>199.55183362060185</v>
      </c>
      <c r="AH38" s="4">
        <f t="shared" si="38"/>
        <v>0</v>
      </c>
      <c r="AI38" s="4">
        <f t="shared" si="38"/>
        <v>0</v>
      </c>
      <c r="AJ38" s="4">
        <f t="shared" si="38"/>
        <v>0</v>
      </c>
      <c r="AK38" s="4">
        <f t="shared" si="38"/>
        <v>0</v>
      </c>
      <c r="AL38" s="4">
        <f t="shared" si="38"/>
        <v>0</v>
      </c>
      <c r="AM38" s="4">
        <f t="shared" si="38"/>
        <v>0</v>
      </c>
      <c r="AN38" s="4">
        <f t="shared" si="38"/>
        <v>0</v>
      </c>
      <c r="AO38" s="4">
        <f t="shared" si="38"/>
        <v>0</v>
      </c>
      <c r="AP38" s="4">
        <f t="shared" si="38"/>
        <v>0</v>
      </c>
    </row>
    <row r="40" spans="2:42" x14ac:dyDescent="0.25">
      <c r="B40" s="8" t="s">
        <v>44</v>
      </c>
    </row>
    <row r="41" spans="2:42" x14ac:dyDescent="0.25">
      <c r="B41" t="s">
        <v>45</v>
      </c>
      <c r="C41" s="48">
        <v>0.06</v>
      </c>
      <c r="D41" s="6"/>
      <c r="E41" s="6"/>
      <c r="F41" s="6"/>
    </row>
    <row r="43" spans="2:42" x14ac:dyDescent="0.25">
      <c r="B43" t="s">
        <v>46</v>
      </c>
      <c r="C43" s="9" t="str">
        <f>D10</f>
        <v>NZE</v>
      </c>
      <c r="D43" s="4">
        <f t="shared" ref="D43:AP43" si="39">IFERROR(D36 * $C$41, 0)</f>
        <v>0</v>
      </c>
      <c r="E43" s="4">
        <f t="shared" si="39"/>
        <v>0</v>
      </c>
      <c r="F43" s="4">
        <f t="shared" si="39"/>
        <v>0</v>
      </c>
      <c r="G43" s="4">
        <f t="shared" si="39"/>
        <v>0.67135338197835981</v>
      </c>
      <c r="H43" s="4">
        <f t="shared" si="39"/>
        <v>1.2461540822276869</v>
      </c>
      <c r="I43" s="4">
        <f t="shared" si="39"/>
        <v>2.2015350650414582</v>
      </c>
      <c r="J43" s="4">
        <f t="shared" si="39"/>
        <v>2.2016707472869435</v>
      </c>
      <c r="K43" s="4">
        <f t="shared" si="39"/>
        <v>1.558504385194533</v>
      </c>
      <c r="L43" s="4">
        <f t="shared" si="39"/>
        <v>0.91319710433622425</v>
      </c>
      <c r="M43" s="4">
        <f t="shared" si="39"/>
        <v>0.91218948527281274</v>
      </c>
      <c r="N43" s="4">
        <f t="shared" si="39"/>
        <v>0.90941495239363856</v>
      </c>
      <c r="O43" s="4">
        <f t="shared" si="39"/>
        <v>0.87334990546227709</v>
      </c>
      <c r="P43" s="4">
        <f t="shared" si="39"/>
        <v>0.81955133002333036</v>
      </c>
      <c r="Q43" s="4">
        <f t="shared" si="39"/>
        <v>0.75497305160291039</v>
      </c>
      <c r="R43" s="4">
        <f t="shared" si="39"/>
        <v>0.69710056117622332</v>
      </c>
      <c r="S43" s="4">
        <f t="shared" si="39"/>
        <v>0.64187943761625299</v>
      </c>
      <c r="T43" s="4">
        <f t="shared" si="39"/>
        <v>0.592160390480993</v>
      </c>
      <c r="U43" s="4">
        <f t="shared" si="39"/>
        <v>0.54469523239998896</v>
      </c>
      <c r="V43" s="4">
        <f t="shared" si="39"/>
        <v>0.14810982156214172</v>
      </c>
      <c r="W43" s="4">
        <f t="shared" si="39"/>
        <v>0</v>
      </c>
      <c r="X43" s="4">
        <f t="shared" si="39"/>
        <v>0</v>
      </c>
      <c r="Y43" s="4">
        <f t="shared" si="39"/>
        <v>0</v>
      </c>
      <c r="Z43" s="4">
        <f t="shared" si="39"/>
        <v>0</v>
      </c>
      <c r="AA43" s="4">
        <f t="shared" si="39"/>
        <v>0</v>
      </c>
      <c r="AB43" s="4">
        <f t="shared" si="39"/>
        <v>0</v>
      </c>
      <c r="AC43" s="4">
        <f t="shared" si="39"/>
        <v>0</v>
      </c>
      <c r="AD43" s="4">
        <f t="shared" si="39"/>
        <v>0</v>
      </c>
      <c r="AE43" s="4">
        <f t="shared" si="39"/>
        <v>0</v>
      </c>
      <c r="AF43" s="4">
        <f t="shared" si="39"/>
        <v>0</v>
      </c>
      <c r="AG43" s="4">
        <f t="shared" si="39"/>
        <v>0</v>
      </c>
      <c r="AH43" s="4">
        <f t="shared" si="39"/>
        <v>0</v>
      </c>
      <c r="AI43" s="4">
        <f t="shared" si="39"/>
        <v>0</v>
      </c>
      <c r="AJ43" s="4">
        <f t="shared" si="39"/>
        <v>0</v>
      </c>
      <c r="AK43" s="4">
        <f t="shared" si="39"/>
        <v>0</v>
      </c>
      <c r="AL43" s="4">
        <f t="shared" si="39"/>
        <v>0</v>
      </c>
      <c r="AM43" s="4">
        <f t="shared" si="39"/>
        <v>0</v>
      </c>
      <c r="AN43" s="4">
        <f t="shared" si="39"/>
        <v>0</v>
      </c>
      <c r="AO43" s="4">
        <f t="shared" si="39"/>
        <v>0</v>
      </c>
      <c r="AP43" s="4">
        <f t="shared" si="39"/>
        <v>0</v>
      </c>
    </row>
    <row r="44" spans="2:42" x14ac:dyDescent="0.25">
      <c r="B44" t="s">
        <v>46</v>
      </c>
      <c r="C44" s="9" t="str">
        <f>D11</f>
        <v>APS</v>
      </c>
      <c r="D44" s="4">
        <f t="shared" ref="D44:AP44" si="40">IFERROR(D37 * $C$41, 0)</f>
        <v>0</v>
      </c>
      <c r="E44" s="4">
        <f t="shared" si="40"/>
        <v>0</v>
      </c>
      <c r="F44" s="4">
        <f t="shared" si="40"/>
        <v>0</v>
      </c>
      <c r="G44" s="4">
        <f t="shared" si="40"/>
        <v>3.8600894846998646</v>
      </c>
      <c r="H44" s="4">
        <f t="shared" si="40"/>
        <v>8.4583583573150847</v>
      </c>
      <c r="I44" s="4">
        <f t="shared" si="40"/>
        <v>15.451722524298681</v>
      </c>
      <c r="J44" s="4">
        <f t="shared" si="40"/>
        <v>16.442558211519117</v>
      </c>
      <c r="K44" s="4">
        <f t="shared" si="40"/>
        <v>18.428864300166843</v>
      </c>
      <c r="L44" s="4">
        <f t="shared" si="40"/>
        <v>18.751840899946977</v>
      </c>
      <c r="M44" s="4">
        <f t="shared" si="40"/>
        <v>19.545890686723485</v>
      </c>
      <c r="N44" s="4">
        <f t="shared" si="40"/>
        <v>23.603642367323424</v>
      </c>
      <c r="O44" s="4">
        <f t="shared" si="40"/>
        <v>24.163892950789673</v>
      </c>
      <c r="P44" s="4">
        <f t="shared" si="40"/>
        <v>24.052014916710473</v>
      </c>
      <c r="Q44" s="4">
        <f t="shared" si="40"/>
        <v>22.916298887053994</v>
      </c>
      <c r="R44" s="4">
        <f t="shared" si="40"/>
        <v>21.762044231147573</v>
      </c>
      <c r="S44" s="4">
        <f t="shared" si="40"/>
        <v>20.605327712809554</v>
      </c>
      <c r="T44" s="4">
        <f t="shared" si="40"/>
        <v>19.459092838301569</v>
      </c>
      <c r="U44" s="4">
        <f t="shared" si="40"/>
        <v>18.333625710550713</v>
      </c>
      <c r="V44" s="4">
        <f t="shared" si="40"/>
        <v>17.459419288234763</v>
      </c>
      <c r="W44" s="4">
        <f t="shared" si="40"/>
        <v>16.575525909743995</v>
      </c>
      <c r="X44" s="4">
        <f t="shared" si="40"/>
        <v>15.693332460253117</v>
      </c>
      <c r="Y44" s="4">
        <f t="shared" si="40"/>
        <v>14.821970563616183</v>
      </c>
      <c r="Z44" s="4">
        <f t="shared" si="40"/>
        <v>13.968660956212805</v>
      </c>
      <c r="AA44" s="4">
        <f t="shared" si="40"/>
        <v>13.139010836046227</v>
      </c>
      <c r="AB44" s="4">
        <f t="shared" si="40"/>
        <v>12.337270218200606</v>
      </c>
      <c r="AC44" s="4">
        <f t="shared" si="40"/>
        <v>11.566552584758027</v>
      </c>
      <c r="AD44" s="4">
        <f t="shared" si="40"/>
        <v>10.829024463273065</v>
      </c>
      <c r="AE44" s="4">
        <f t="shared" si="40"/>
        <v>10.126067992457696</v>
      </c>
      <c r="AF44" s="4">
        <f t="shared" si="40"/>
        <v>9.4584200276090495</v>
      </c>
      <c r="AG44" s="4">
        <f t="shared" si="40"/>
        <v>8.7469881854124427</v>
      </c>
      <c r="AH44" s="4">
        <f t="shared" si="40"/>
        <v>0</v>
      </c>
      <c r="AI44" s="4">
        <f t="shared" si="40"/>
        <v>0</v>
      </c>
      <c r="AJ44" s="4">
        <f t="shared" si="40"/>
        <v>0</v>
      </c>
      <c r="AK44" s="4">
        <f t="shared" si="40"/>
        <v>0</v>
      </c>
      <c r="AL44" s="4">
        <f t="shared" si="40"/>
        <v>0</v>
      </c>
      <c r="AM44" s="4">
        <f t="shared" si="40"/>
        <v>0</v>
      </c>
      <c r="AN44" s="4">
        <f t="shared" si="40"/>
        <v>0</v>
      </c>
      <c r="AO44" s="4">
        <f t="shared" si="40"/>
        <v>0</v>
      </c>
      <c r="AP44" s="4">
        <f t="shared" si="40"/>
        <v>0</v>
      </c>
    </row>
    <row r="45" spans="2:42" x14ac:dyDescent="0.25">
      <c r="B45" t="s">
        <v>46</v>
      </c>
      <c r="C45" s="9" t="str">
        <f>D12</f>
        <v>OPEC</v>
      </c>
      <c r="D45" s="4">
        <f t="shared" ref="D45:AP45" si="41">IFERROR(D38 * $C$41, 0)</f>
        <v>0</v>
      </c>
      <c r="E45" s="4">
        <f t="shared" si="41"/>
        <v>0</v>
      </c>
      <c r="F45" s="4">
        <f t="shared" si="41"/>
        <v>0</v>
      </c>
      <c r="G45" s="4">
        <f t="shared" si="41"/>
        <v>5.6395181058748358</v>
      </c>
      <c r="H45" s="4">
        <f t="shared" si="41"/>
        <v>11.037599843059976</v>
      </c>
      <c r="I45" s="4">
        <f t="shared" si="41"/>
        <v>24.355670617676974</v>
      </c>
      <c r="J45" s="4">
        <f t="shared" si="41"/>
        <v>24.586413174974879</v>
      </c>
      <c r="K45" s="4">
        <f t="shared" si="41"/>
        <v>23.72568053656083</v>
      </c>
      <c r="L45" s="4">
        <f t="shared" si="41"/>
        <v>22.885941377132561</v>
      </c>
      <c r="M45" s="4">
        <f t="shared" si="41"/>
        <v>22.066683660617144</v>
      </c>
      <c r="N45" s="4">
        <f t="shared" si="41"/>
        <v>21.157089130413606</v>
      </c>
      <c r="O45" s="4">
        <f t="shared" si="41"/>
        <v>19.578237777429155</v>
      </c>
      <c r="P45" s="4">
        <f t="shared" si="41"/>
        <v>24.052014916710473</v>
      </c>
      <c r="Q45" s="4">
        <f t="shared" si="41"/>
        <v>23.294672217272918</v>
      </c>
      <c r="R45" s="4">
        <f t="shared" si="41"/>
        <v>22.442326600473255</v>
      </c>
      <c r="S45" s="4">
        <f t="shared" si="41"/>
        <v>23.051828701192949</v>
      </c>
      <c r="T45" s="4">
        <f t="shared" si="41"/>
        <v>23.308925980988295</v>
      </c>
      <c r="U45" s="4">
        <f t="shared" si="41"/>
        <v>23.279804051348169</v>
      </c>
      <c r="V45" s="4">
        <f t="shared" si="41"/>
        <v>25.245281967617959</v>
      </c>
      <c r="W45" s="4">
        <f t="shared" si="41"/>
        <v>23.356000647201846</v>
      </c>
      <c r="X45" s="4">
        <f t="shared" si="41"/>
        <v>21.542526620038778</v>
      </c>
      <c r="Y45" s="4">
        <f t="shared" si="41"/>
        <v>21.233951529980502</v>
      </c>
      <c r="Z45" s="4">
        <f t="shared" si="41"/>
        <v>19.593579348072755</v>
      </c>
      <c r="AA45" s="4">
        <f t="shared" si="41"/>
        <v>18.084454397621386</v>
      </c>
      <c r="AB45" s="4">
        <f t="shared" si="41"/>
        <v>17.765582159442818</v>
      </c>
      <c r="AC45" s="4">
        <f t="shared" si="41"/>
        <v>16.40607633639463</v>
      </c>
      <c r="AD45" s="4">
        <f t="shared" si="41"/>
        <v>15.156020817494099</v>
      </c>
      <c r="AE45" s="4">
        <f t="shared" si="41"/>
        <v>14.005402407870932</v>
      </c>
      <c r="AF45" s="4">
        <f t="shared" si="41"/>
        <v>12.946936840346568</v>
      </c>
      <c r="AG45" s="4">
        <f t="shared" si="41"/>
        <v>11.973110017236111</v>
      </c>
      <c r="AH45" s="4">
        <f t="shared" si="41"/>
        <v>0</v>
      </c>
      <c r="AI45" s="4">
        <f t="shared" si="41"/>
        <v>0</v>
      </c>
      <c r="AJ45" s="4">
        <f t="shared" si="41"/>
        <v>0</v>
      </c>
      <c r="AK45" s="4">
        <f t="shared" si="41"/>
        <v>0</v>
      </c>
      <c r="AL45" s="4">
        <f t="shared" si="41"/>
        <v>0</v>
      </c>
      <c r="AM45" s="4">
        <f t="shared" si="41"/>
        <v>0</v>
      </c>
      <c r="AN45" s="4">
        <f t="shared" si="41"/>
        <v>0</v>
      </c>
      <c r="AO45" s="4">
        <f t="shared" si="41"/>
        <v>0</v>
      </c>
      <c r="AP45" s="4">
        <f t="shared" si="41"/>
        <v>0</v>
      </c>
    </row>
    <row r="47" spans="2:42" x14ac:dyDescent="0.25">
      <c r="B47" t="s">
        <v>47</v>
      </c>
      <c r="C47" s="9" t="str">
        <f>D10</f>
        <v>NZE</v>
      </c>
      <c r="D47" s="4">
        <f>SUM(D43:AP43)</f>
        <v>15.685838934055775</v>
      </c>
      <c r="I47" s="1"/>
    </row>
    <row r="48" spans="2:42" x14ac:dyDescent="0.25">
      <c r="B48" t="s">
        <v>47</v>
      </c>
      <c r="C48" s="9" t="str">
        <f>D11</f>
        <v>APS</v>
      </c>
      <c r="D48" s="4">
        <f t="shared" ref="D48:D49" si="42">SUM(D44:AP44)</f>
        <v>430.55750756517506</v>
      </c>
      <c r="I48" s="1"/>
    </row>
    <row r="49" spans="2:9" x14ac:dyDescent="0.25">
      <c r="B49" t="s">
        <v>47</v>
      </c>
      <c r="C49" s="9" t="str">
        <f>D12</f>
        <v>OPEC</v>
      </c>
      <c r="D49" s="4">
        <f t="shared" si="42"/>
        <v>531.7713297810443</v>
      </c>
      <c r="I49" s="1"/>
    </row>
    <row r="51" spans="2:9" x14ac:dyDescent="0.25">
      <c r="B51" t="s">
        <v>48</v>
      </c>
      <c r="C51" s="9" t="str">
        <f>D10</f>
        <v>NZE</v>
      </c>
      <c r="D51" s="3">
        <f>D47/$C$7</f>
        <v>0.58095699755762131</v>
      </c>
    </row>
    <row r="52" spans="2:9" x14ac:dyDescent="0.25">
      <c r="B52" t="s">
        <v>48</v>
      </c>
      <c r="C52" s="9" t="str">
        <f>D11</f>
        <v>APS</v>
      </c>
      <c r="D52" s="3">
        <f t="shared" ref="D52:D53" si="43">D48/$C$7</f>
        <v>15.946574354265742</v>
      </c>
    </row>
    <row r="53" spans="2:9" x14ac:dyDescent="0.25">
      <c r="B53" t="s">
        <v>48</v>
      </c>
      <c r="C53" s="9" t="str">
        <f>D12</f>
        <v>OPEC</v>
      </c>
      <c r="D53" s="3">
        <f t="shared" si="43"/>
        <v>19.695234436334975</v>
      </c>
    </row>
    <row r="55" spans="2:9" x14ac:dyDescent="0.25">
      <c r="B55" t="s">
        <v>49</v>
      </c>
      <c r="C55" s="48">
        <v>0.5</v>
      </c>
    </row>
    <row r="56" spans="2:9" x14ac:dyDescent="0.25">
      <c r="B56" t="s">
        <v>50</v>
      </c>
      <c r="C56" s="12">
        <f>100%-C55</f>
        <v>0.5</v>
      </c>
    </row>
    <row r="58" spans="2:9" x14ac:dyDescent="0.25">
      <c r="B58" t="s">
        <v>51</v>
      </c>
      <c r="C58" s="9" t="str">
        <f>D10</f>
        <v>NZE</v>
      </c>
      <c r="D58" s="1">
        <f>D47 * $C$55</f>
        <v>7.8429194670278877</v>
      </c>
    </row>
    <row r="59" spans="2:9" x14ac:dyDescent="0.25">
      <c r="B59" t="s">
        <v>51</v>
      </c>
      <c r="C59" s="9" t="str">
        <f>D11</f>
        <v>APS</v>
      </c>
      <c r="D59" s="1">
        <f t="shared" ref="D59:D60" si="44">D48 * $C$55</f>
        <v>215.27875378258753</v>
      </c>
    </row>
    <row r="60" spans="2:9" x14ac:dyDescent="0.25">
      <c r="B60" t="s">
        <v>51</v>
      </c>
      <c r="C60" s="9" t="str">
        <f>D12</f>
        <v>OPEC</v>
      </c>
      <c r="D60" s="1">
        <f t="shared" si="44"/>
        <v>265.88566489052215</v>
      </c>
    </row>
    <row r="62" spans="2:9" x14ac:dyDescent="0.25">
      <c r="B62" t="s">
        <v>52</v>
      </c>
      <c r="C62" s="9" t="str">
        <f>D10</f>
        <v>NZE</v>
      </c>
      <c r="D62" s="1">
        <f>D47 * $C$56</f>
        <v>7.8429194670278877</v>
      </c>
    </row>
    <row r="63" spans="2:9" x14ac:dyDescent="0.25">
      <c r="B63" t="s">
        <v>52</v>
      </c>
      <c r="C63" s="9" t="str">
        <f t="shared" ref="C63:C64" si="45">D11</f>
        <v>APS</v>
      </c>
      <c r="D63" s="1">
        <f t="shared" ref="D63:D64" si="46">D48 * $C$56</f>
        <v>215.27875378258753</v>
      </c>
    </row>
    <row r="64" spans="2:9" x14ac:dyDescent="0.25">
      <c r="B64" t="s">
        <v>52</v>
      </c>
      <c r="C64" s="9" t="str">
        <f t="shared" si="45"/>
        <v>OPEC</v>
      </c>
      <c r="D64" s="1">
        <f t="shared" si="46"/>
        <v>265.88566489052215</v>
      </c>
    </row>
    <row r="65" spans="2:42" x14ac:dyDescent="0.25">
      <c r="D65" s="1"/>
    </row>
    <row r="66" spans="2:42" x14ac:dyDescent="0.25">
      <c r="B66" s="8" t="s">
        <v>53</v>
      </c>
      <c r="D66" s="1"/>
    </row>
    <row r="67" spans="2:42" x14ac:dyDescent="0.25">
      <c r="B67" t="s">
        <v>54</v>
      </c>
      <c r="C67" s="48">
        <v>0.01</v>
      </c>
      <c r="D67" s="1">
        <v>1</v>
      </c>
    </row>
    <row r="68" spans="2:42" x14ac:dyDescent="0.25">
      <c r="B68" t="str">
        <f>"Cultural institution share of central government share of "&amp;((100%-C41)*100)&amp;"%"</f>
        <v>Cultural institution share of central government share of 94%</v>
      </c>
      <c r="C68" s="48">
        <v>0.01</v>
      </c>
      <c r="D68" s="1">
        <v>2</v>
      </c>
    </row>
    <row r="69" spans="2:42" x14ac:dyDescent="0.25">
      <c r="B69" t="s">
        <v>55</v>
      </c>
      <c r="C69" s="16">
        <f>C68 * (100% - C41)</f>
        <v>9.4000000000000004E-3</v>
      </c>
      <c r="D69" s="1"/>
    </row>
    <row r="70" spans="2:42" x14ac:dyDescent="0.25">
      <c r="C70" s="1"/>
      <c r="D70" s="1"/>
    </row>
    <row r="71" spans="2:42" x14ac:dyDescent="0.25">
      <c r="B71" s="13" t="s">
        <v>54</v>
      </c>
      <c r="C71" s="1"/>
      <c r="D71" s="1"/>
    </row>
    <row r="72" spans="2:42" x14ac:dyDescent="0.25">
      <c r="B72" t="s">
        <v>56</v>
      </c>
      <c r="C72" s="9" t="str">
        <f>D10</f>
        <v>NZE</v>
      </c>
      <c r="D72" s="4">
        <f t="shared" ref="D72:AP72" si="47">IFERROR(D36 * $C$67, 0)</f>
        <v>0</v>
      </c>
      <c r="E72" s="4">
        <f t="shared" si="47"/>
        <v>0</v>
      </c>
      <c r="F72" s="4">
        <f t="shared" si="47"/>
        <v>0</v>
      </c>
      <c r="G72" s="4">
        <f t="shared" si="47"/>
        <v>0.11189223032972664</v>
      </c>
      <c r="H72" s="4">
        <f t="shared" si="47"/>
        <v>0.20769234703794784</v>
      </c>
      <c r="I72" s="4">
        <f t="shared" si="47"/>
        <v>0.36692251084024308</v>
      </c>
      <c r="J72" s="4">
        <f t="shared" si="47"/>
        <v>0.36694512454782391</v>
      </c>
      <c r="K72" s="4">
        <f t="shared" si="47"/>
        <v>0.25975073086575551</v>
      </c>
      <c r="L72" s="4">
        <f t="shared" si="47"/>
        <v>0.15219951738937071</v>
      </c>
      <c r="M72" s="4">
        <f t="shared" si="47"/>
        <v>0.15203158087880214</v>
      </c>
      <c r="N72" s="4">
        <f t="shared" si="47"/>
        <v>0.15156915873227311</v>
      </c>
      <c r="O72" s="4">
        <f t="shared" si="47"/>
        <v>0.14555831757704618</v>
      </c>
      <c r="P72" s="4">
        <f t="shared" si="47"/>
        <v>0.13659188833722172</v>
      </c>
      <c r="Q72" s="4">
        <f t="shared" si="47"/>
        <v>0.12582884193381841</v>
      </c>
      <c r="R72" s="4">
        <f t="shared" si="47"/>
        <v>0.11618342686270389</v>
      </c>
      <c r="S72" s="4">
        <f t="shared" si="47"/>
        <v>0.10697990626937549</v>
      </c>
      <c r="T72" s="4">
        <f t="shared" si="47"/>
        <v>9.8693398413498848E-2</v>
      </c>
      <c r="U72" s="4">
        <f t="shared" si="47"/>
        <v>9.0782538733331503E-2</v>
      </c>
      <c r="V72" s="4">
        <f t="shared" si="47"/>
        <v>2.4684970260356955E-2</v>
      </c>
      <c r="W72" s="4">
        <f t="shared" si="47"/>
        <v>0</v>
      </c>
      <c r="X72" s="4">
        <f t="shared" si="47"/>
        <v>0</v>
      </c>
      <c r="Y72" s="4">
        <f t="shared" si="47"/>
        <v>0</v>
      </c>
      <c r="Z72" s="4">
        <f t="shared" si="47"/>
        <v>0</v>
      </c>
      <c r="AA72" s="4">
        <f t="shared" si="47"/>
        <v>0</v>
      </c>
      <c r="AB72" s="4">
        <f t="shared" si="47"/>
        <v>0</v>
      </c>
      <c r="AC72" s="4">
        <f t="shared" si="47"/>
        <v>0</v>
      </c>
      <c r="AD72" s="4">
        <f t="shared" si="47"/>
        <v>0</v>
      </c>
      <c r="AE72" s="4">
        <f t="shared" si="47"/>
        <v>0</v>
      </c>
      <c r="AF72" s="4">
        <f t="shared" si="47"/>
        <v>0</v>
      </c>
      <c r="AG72" s="4">
        <f t="shared" si="47"/>
        <v>0</v>
      </c>
      <c r="AH72" s="4">
        <f t="shared" si="47"/>
        <v>0</v>
      </c>
      <c r="AI72" s="4">
        <f t="shared" si="47"/>
        <v>0</v>
      </c>
      <c r="AJ72" s="4">
        <f t="shared" si="47"/>
        <v>0</v>
      </c>
      <c r="AK72" s="4">
        <f t="shared" si="47"/>
        <v>0</v>
      </c>
      <c r="AL72" s="4">
        <f t="shared" si="47"/>
        <v>0</v>
      </c>
      <c r="AM72" s="4">
        <f t="shared" si="47"/>
        <v>0</v>
      </c>
      <c r="AN72" s="4">
        <f t="shared" si="47"/>
        <v>0</v>
      </c>
      <c r="AO72" s="4">
        <f t="shared" si="47"/>
        <v>0</v>
      </c>
      <c r="AP72" s="4">
        <f t="shared" si="47"/>
        <v>0</v>
      </c>
    </row>
    <row r="73" spans="2:42" x14ac:dyDescent="0.25">
      <c r="B73" t="s">
        <v>56</v>
      </c>
      <c r="C73" s="9" t="str">
        <f t="shared" ref="C73:C74" si="48">D11</f>
        <v>APS</v>
      </c>
      <c r="D73" s="4">
        <f t="shared" ref="D73:AP73" si="49">IFERROR(D37 * $C$67, 0)</f>
        <v>0</v>
      </c>
      <c r="E73" s="4">
        <f t="shared" si="49"/>
        <v>0</v>
      </c>
      <c r="F73" s="4">
        <f t="shared" si="49"/>
        <v>0</v>
      </c>
      <c r="G73" s="4">
        <f t="shared" si="49"/>
        <v>0.64334824744997743</v>
      </c>
      <c r="H73" s="4">
        <f t="shared" si="49"/>
        <v>1.4097263928858477</v>
      </c>
      <c r="I73" s="4">
        <f t="shared" si="49"/>
        <v>2.5752870873831135</v>
      </c>
      <c r="J73" s="4">
        <f t="shared" si="49"/>
        <v>2.7404263685865198</v>
      </c>
      <c r="K73" s="4">
        <f t="shared" si="49"/>
        <v>3.0714773833611408</v>
      </c>
      <c r="L73" s="4">
        <f t="shared" si="49"/>
        <v>3.1253068166578295</v>
      </c>
      <c r="M73" s="4">
        <f t="shared" si="49"/>
        <v>3.2576484477872474</v>
      </c>
      <c r="N73" s="4">
        <f t="shared" si="49"/>
        <v>3.933940394553904</v>
      </c>
      <c r="O73" s="4">
        <f t="shared" si="49"/>
        <v>4.0273154917982792</v>
      </c>
      <c r="P73" s="4">
        <f t="shared" si="49"/>
        <v>4.0086691527850791</v>
      </c>
      <c r="Q73" s="4">
        <f t="shared" si="49"/>
        <v>3.8193831478423323</v>
      </c>
      <c r="R73" s="4">
        <f t="shared" si="49"/>
        <v>3.6270073718579288</v>
      </c>
      <c r="S73" s="4">
        <f t="shared" si="49"/>
        <v>3.4342212854682597</v>
      </c>
      <c r="T73" s="4">
        <f t="shared" si="49"/>
        <v>3.2431821397169287</v>
      </c>
      <c r="U73" s="4">
        <f t="shared" si="49"/>
        <v>3.0556042850917855</v>
      </c>
      <c r="V73" s="4">
        <f t="shared" si="49"/>
        <v>2.9099032147057939</v>
      </c>
      <c r="W73" s="4">
        <f t="shared" si="49"/>
        <v>2.7625876516239991</v>
      </c>
      <c r="X73" s="4">
        <f t="shared" si="49"/>
        <v>2.6155554100421865</v>
      </c>
      <c r="Y73" s="4">
        <f t="shared" si="49"/>
        <v>2.4703284272693642</v>
      </c>
      <c r="Z73" s="4">
        <f t="shared" si="49"/>
        <v>2.3281101593688009</v>
      </c>
      <c r="AA73" s="4">
        <f t="shared" si="49"/>
        <v>2.1898351393410382</v>
      </c>
      <c r="AB73" s="4">
        <f t="shared" si="49"/>
        <v>2.0562117030334344</v>
      </c>
      <c r="AC73" s="4">
        <f t="shared" si="49"/>
        <v>1.9277587641263378</v>
      </c>
      <c r="AD73" s="4">
        <f t="shared" si="49"/>
        <v>1.8048374105455107</v>
      </c>
      <c r="AE73" s="4">
        <f t="shared" si="49"/>
        <v>1.6876779987429493</v>
      </c>
      <c r="AF73" s="4">
        <f t="shared" si="49"/>
        <v>1.5764033379348417</v>
      </c>
      <c r="AG73" s="4">
        <f t="shared" si="49"/>
        <v>1.4578313642354073</v>
      </c>
      <c r="AH73" s="4">
        <f t="shared" si="49"/>
        <v>0</v>
      </c>
      <c r="AI73" s="4">
        <f t="shared" si="49"/>
        <v>0</v>
      </c>
      <c r="AJ73" s="4">
        <f t="shared" si="49"/>
        <v>0</v>
      </c>
      <c r="AK73" s="4">
        <f t="shared" si="49"/>
        <v>0</v>
      </c>
      <c r="AL73" s="4">
        <f t="shared" si="49"/>
        <v>0</v>
      </c>
      <c r="AM73" s="4">
        <f t="shared" si="49"/>
        <v>0</v>
      </c>
      <c r="AN73" s="4">
        <f t="shared" si="49"/>
        <v>0</v>
      </c>
      <c r="AO73" s="4">
        <f t="shared" si="49"/>
        <v>0</v>
      </c>
      <c r="AP73" s="4">
        <f t="shared" si="49"/>
        <v>0</v>
      </c>
    </row>
    <row r="74" spans="2:42" x14ac:dyDescent="0.25">
      <c r="B74" t="s">
        <v>56</v>
      </c>
      <c r="C74" s="9" t="str">
        <f t="shared" si="48"/>
        <v>OPEC</v>
      </c>
      <c r="D74" s="4">
        <f t="shared" ref="D74:AP74" si="50">IFERROR(D38 * $C$67, 0)</f>
        <v>0</v>
      </c>
      <c r="E74" s="4">
        <f t="shared" si="50"/>
        <v>0</v>
      </c>
      <c r="F74" s="4">
        <f t="shared" si="50"/>
        <v>0</v>
      </c>
      <c r="G74" s="4">
        <f t="shared" si="50"/>
        <v>0.93991968431247275</v>
      </c>
      <c r="H74" s="4">
        <f t="shared" si="50"/>
        <v>1.8395999738433293</v>
      </c>
      <c r="I74" s="4">
        <f t="shared" si="50"/>
        <v>4.059278436279496</v>
      </c>
      <c r="J74" s="4">
        <f t="shared" si="50"/>
        <v>4.0977355291624802</v>
      </c>
      <c r="K74" s="4">
        <f t="shared" si="50"/>
        <v>3.9542800894268049</v>
      </c>
      <c r="L74" s="4">
        <f t="shared" si="50"/>
        <v>3.8143235628554271</v>
      </c>
      <c r="M74" s="4">
        <f t="shared" si="50"/>
        <v>3.6777806101028574</v>
      </c>
      <c r="N74" s="4">
        <f t="shared" si="50"/>
        <v>3.5261815217356016</v>
      </c>
      <c r="O74" s="4">
        <f t="shared" si="50"/>
        <v>3.263039629571526</v>
      </c>
      <c r="P74" s="4">
        <f t="shared" si="50"/>
        <v>4.0086691527850791</v>
      </c>
      <c r="Q74" s="4">
        <f t="shared" si="50"/>
        <v>3.8824453695454868</v>
      </c>
      <c r="R74" s="4">
        <f t="shared" si="50"/>
        <v>3.7403877667455423</v>
      </c>
      <c r="S74" s="4">
        <f t="shared" si="50"/>
        <v>3.8419714501988249</v>
      </c>
      <c r="T74" s="4">
        <f t="shared" si="50"/>
        <v>3.8848209968313827</v>
      </c>
      <c r="U74" s="4">
        <f t="shared" si="50"/>
        <v>3.8799673418913616</v>
      </c>
      <c r="V74" s="4">
        <f t="shared" si="50"/>
        <v>4.2075469946029935</v>
      </c>
      <c r="W74" s="4">
        <f t="shared" si="50"/>
        <v>3.892666774533641</v>
      </c>
      <c r="X74" s="4">
        <f t="shared" si="50"/>
        <v>3.5904211033397964</v>
      </c>
      <c r="Y74" s="4">
        <f t="shared" si="50"/>
        <v>3.5389919216634174</v>
      </c>
      <c r="Z74" s="4">
        <f t="shared" si="50"/>
        <v>3.2655965580121262</v>
      </c>
      <c r="AA74" s="4">
        <f t="shared" si="50"/>
        <v>3.0140757329368979</v>
      </c>
      <c r="AB74" s="4">
        <f t="shared" si="50"/>
        <v>2.9609303599071364</v>
      </c>
      <c r="AC74" s="4">
        <f t="shared" si="50"/>
        <v>2.734346056065772</v>
      </c>
      <c r="AD74" s="4">
        <f t="shared" si="50"/>
        <v>2.5260034695823497</v>
      </c>
      <c r="AE74" s="4">
        <f t="shared" si="50"/>
        <v>2.3342337346451556</v>
      </c>
      <c r="AF74" s="4">
        <f t="shared" si="50"/>
        <v>2.1578228067244285</v>
      </c>
      <c r="AG74" s="4">
        <f t="shared" si="50"/>
        <v>1.9955183362060185</v>
      </c>
      <c r="AH74" s="4">
        <f t="shared" si="50"/>
        <v>0</v>
      </c>
      <c r="AI74" s="4">
        <f t="shared" si="50"/>
        <v>0</v>
      </c>
      <c r="AJ74" s="4">
        <f t="shared" si="50"/>
        <v>0</v>
      </c>
      <c r="AK74" s="4">
        <f t="shared" si="50"/>
        <v>0</v>
      </c>
      <c r="AL74" s="4">
        <f t="shared" si="50"/>
        <v>0</v>
      </c>
      <c r="AM74" s="4">
        <f t="shared" si="50"/>
        <v>0</v>
      </c>
      <c r="AN74" s="4">
        <f t="shared" si="50"/>
        <v>0</v>
      </c>
      <c r="AO74" s="4">
        <f t="shared" si="50"/>
        <v>0</v>
      </c>
      <c r="AP74" s="4">
        <f t="shared" si="50"/>
        <v>0</v>
      </c>
    </row>
    <row r="76" spans="2:42" x14ac:dyDescent="0.25">
      <c r="B76" t="s">
        <v>57</v>
      </c>
      <c r="C76" s="9" t="str">
        <f>D10</f>
        <v>NZE</v>
      </c>
      <c r="D76" s="4">
        <f>SUM(D72:AP72)</f>
        <v>2.6143064890092962</v>
      </c>
      <c r="I76" s="1"/>
    </row>
    <row r="77" spans="2:42" x14ac:dyDescent="0.25">
      <c r="B77" t="s">
        <v>57</v>
      </c>
      <c r="C77" s="9" t="str">
        <f t="shared" ref="C77:C78" si="51">D11</f>
        <v>APS</v>
      </c>
      <c r="D77" s="4">
        <f t="shared" ref="D77:D78" si="52">SUM(D73:AP73)</f>
        <v>71.759584594195829</v>
      </c>
      <c r="I77" s="1"/>
    </row>
    <row r="78" spans="2:42" x14ac:dyDescent="0.25">
      <c r="B78" t="s">
        <v>57</v>
      </c>
      <c r="C78" s="9" t="str">
        <f t="shared" si="51"/>
        <v>OPEC</v>
      </c>
      <c r="D78" s="4">
        <f t="shared" si="52"/>
        <v>88.628554963507398</v>
      </c>
      <c r="I78" s="1"/>
    </row>
    <row r="80" spans="2:42" x14ac:dyDescent="0.25">
      <c r="B80" t="s">
        <v>58</v>
      </c>
      <c r="C80" s="9" t="str">
        <f>D10</f>
        <v>NZE</v>
      </c>
      <c r="D80" s="3">
        <f>D76/$C$7</f>
        <v>9.6826166259603566E-2</v>
      </c>
    </row>
    <row r="81" spans="2:42" x14ac:dyDescent="0.25">
      <c r="B81" t="s">
        <v>58</v>
      </c>
      <c r="C81" s="9" t="str">
        <f t="shared" ref="C81:C82" si="53">D11</f>
        <v>APS</v>
      </c>
      <c r="D81" s="3">
        <f t="shared" ref="D81:D82" si="54">D77/$C$7</f>
        <v>2.6577623923776232</v>
      </c>
    </row>
    <row r="82" spans="2:42" x14ac:dyDescent="0.25">
      <c r="B82" t="s">
        <v>58</v>
      </c>
      <c r="C82" s="9" t="str">
        <f t="shared" si="53"/>
        <v>OPEC</v>
      </c>
      <c r="D82" s="3">
        <f t="shared" si="54"/>
        <v>3.2825390727224963</v>
      </c>
    </row>
    <row r="84" spans="2:42" x14ac:dyDescent="0.25">
      <c r="B84" s="13" t="s">
        <v>59</v>
      </c>
      <c r="C84" s="1"/>
      <c r="D84" s="1"/>
    </row>
    <row r="85" spans="2:42" x14ac:dyDescent="0.25">
      <c r="B85" t="s">
        <v>56</v>
      </c>
      <c r="C85" s="9" t="str">
        <f>D10</f>
        <v>NZE</v>
      </c>
      <c r="D85" s="4">
        <f t="shared" ref="D85:AP85" si="55">IFERROR(D36 * $C$69, 0)</f>
        <v>0</v>
      </c>
      <c r="E85" s="4">
        <f t="shared" si="55"/>
        <v>0</v>
      </c>
      <c r="F85" s="4">
        <f t="shared" si="55"/>
        <v>0</v>
      </c>
      <c r="G85" s="4">
        <f t="shared" si="55"/>
        <v>0.10517869650994305</v>
      </c>
      <c r="H85" s="4">
        <f t="shared" si="55"/>
        <v>0.19523080621567096</v>
      </c>
      <c r="I85" s="4">
        <f t="shared" si="55"/>
        <v>0.34490716018982848</v>
      </c>
      <c r="J85" s="4">
        <f t="shared" si="55"/>
        <v>0.34492841707495447</v>
      </c>
      <c r="K85" s="4">
        <f t="shared" si="55"/>
        <v>0.2441656870138102</v>
      </c>
      <c r="L85" s="4">
        <f t="shared" si="55"/>
        <v>0.14306754634600849</v>
      </c>
      <c r="M85" s="4">
        <f t="shared" si="55"/>
        <v>0.14290968602607401</v>
      </c>
      <c r="N85" s="4">
        <f t="shared" si="55"/>
        <v>0.14247500920833672</v>
      </c>
      <c r="O85" s="4">
        <f t="shared" si="55"/>
        <v>0.13682481852242342</v>
      </c>
      <c r="P85" s="4">
        <f t="shared" si="55"/>
        <v>0.12839637503698842</v>
      </c>
      <c r="Q85" s="4">
        <f t="shared" si="55"/>
        <v>0.11827911141778931</v>
      </c>
      <c r="R85" s="4">
        <f t="shared" si="55"/>
        <v>0.10921242125094166</v>
      </c>
      <c r="S85" s="4">
        <f t="shared" si="55"/>
        <v>0.10056111189321297</v>
      </c>
      <c r="T85" s="4">
        <f t="shared" si="55"/>
        <v>9.2771794508688915E-2</v>
      </c>
      <c r="U85" s="4">
        <f t="shared" si="55"/>
        <v>8.5335586409331615E-2</v>
      </c>
      <c r="V85" s="4">
        <f t="shared" si="55"/>
        <v>2.3203872044735539E-2</v>
      </c>
      <c r="W85" s="4">
        <f t="shared" si="55"/>
        <v>0</v>
      </c>
      <c r="X85" s="4">
        <f t="shared" si="55"/>
        <v>0</v>
      </c>
      <c r="Y85" s="4">
        <f t="shared" si="55"/>
        <v>0</v>
      </c>
      <c r="Z85" s="4">
        <f t="shared" si="55"/>
        <v>0</v>
      </c>
      <c r="AA85" s="4">
        <f t="shared" si="55"/>
        <v>0</v>
      </c>
      <c r="AB85" s="4">
        <f t="shared" si="55"/>
        <v>0</v>
      </c>
      <c r="AC85" s="4">
        <f t="shared" si="55"/>
        <v>0</v>
      </c>
      <c r="AD85" s="4">
        <f t="shared" si="55"/>
        <v>0</v>
      </c>
      <c r="AE85" s="4">
        <f t="shared" si="55"/>
        <v>0</v>
      </c>
      <c r="AF85" s="4">
        <f t="shared" si="55"/>
        <v>0</v>
      </c>
      <c r="AG85" s="4">
        <f t="shared" si="55"/>
        <v>0</v>
      </c>
      <c r="AH85" s="4">
        <f t="shared" si="55"/>
        <v>0</v>
      </c>
      <c r="AI85" s="4">
        <f t="shared" si="55"/>
        <v>0</v>
      </c>
      <c r="AJ85" s="4">
        <f t="shared" si="55"/>
        <v>0</v>
      </c>
      <c r="AK85" s="4">
        <f t="shared" si="55"/>
        <v>0</v>
      </c>
      <c r="AL85" s="4">
        <f t="shared" si="55"/>
        <v>0</v>
      </c>
      <c r="AM85" s="4">
        <f t="shared" si="55"/>
        <v>0</v>
      </c>
      <c r="AN85" s="4">
        <f t="shared" si="55"/>
        <v>0</v>
      </c>
      <c r="AO85" s="4">
        <f t="shared" si="55"/>
        <v>0</v>
      </c>
      <c r="AP85" s="4">
        <f t="shared" si="55"/>
        <v>0</v>
      </c>
    </row>
    <row r="86" spans="2:42" x14ac:dyDescent="0.25">
      <c r="B86" t="s">
        <v>56</v>
      </c>
      <c r="C86" s="9" t="str">
        <f>D11</f>
        <v>APS</v>
      </c>
      <c r="D86" s="4">
        <f t="shared" ref="D86:AP86" si="56">IFERROR(D37 * $C$69, 0)</f>
        <v>0</v>
      </c>
      <c r="E86" s="4">
        <f t="shared" si="56"/>
        <v>0</v>
      </c>
      <c r="F86" s="4">
        <f t="shared" si="56"/>
        <v>0</v>
      </c>
      <c r="G86" s="4">
        <f t="shared" si="56"/>
        <v>0.60474735260297885</v>
      </c>
      <c r="H86" s="4">
        <f t="shared" si="56"/>
        <v>1.3251428093126967</v>
      </c>
      <c r="I86" s="4">
        <f t="shared" si="56"/>
        <v>2.4207698621401268</v>
      </c>
      <c r="J86" s="4">
        <f t="shared" si="56"/>
        <v>2.5760007864713286</v>
      </c>
      <c r="K86" s="4">
        <f t="shared" si="56"/>
        <v>2.8871887403594725</v>
      </c>
      <c r="L86" s="4">
        <f t="shared" si="56"/>
        <v>2.9377884076583598</v>
      </c>
      <c r="M86" s="4">
        <f t="shared" si="56"/>
        <v>3.0621895409200128</v>
      </c>
      <c r="N86" s="4">
        <f t="shared" si="56"/>
        <v>3.6979039708806698</v>
      </c>
      <c r="O86" s="4">
        <f t="shared" si="56"/>
        <v>3.7856765622903823</v>
      </c>
      <c r="P86" s="4">
        <f t="shared" si="56"/>
        <v>3.7681490036179746</v>
      </c>
      <c r="Q86" s="4">
        <f t="shared" si="56"/>
        <v>3.5902201589717926</v>
      </c>
      <c r="R86" s="4">
        <f t="shared" si="56"/>
        <v>3.4093869295464532</v>
      </c>
      <c r="S86" s="4">
        <f t="shared" si="56"/>
        <v>3.2281680083401638</v>
      </c>
      <c r="T86" s="4">
        <f t="shared" si="56"/>
        <v>3.0485912113339126</v>
      </c>
      <c r="U86" s="4">
        <f t="shared" si="56"/>
        <v>2.8722680279862787</v>
      </c>
      <c r="V86" s="4">
        <f t="shared" si="56"/>
        <v>2.7353090218234462</v>
      </c>
      <c r="W86" s="4">
        <f t="shared" si="56"/>
        <v>2.5968323925265593</v>
      </c>
      <c r="X86" s="4">
        <f t="shared" si="56"/>
        <v>2.4586220854396554</v>
      </c>
      <c r="Y86" s="4">
        <f t="shared" si="56"/>
        <v>2.3221087216332021</v>
      </c>
      <c r="Z86" s="4">
        <f t="shared" si="56"/>
        <v>2.1884235498066729</v>
      </c>
      <c r="AA86" s="4">
        <f t="shared" si="56"/>
        <v>2.0584450309805757</v>
      </c>
      <c r="AB86" s="4">
        <f t="shared" si="56"/>
        <v>1.9328390008514285</v>
      </c>
      <c r="AC86" s="4">
        <f t="shared" si="56"/>
        <v>1.8120932382787576</v>
      </c>
      <c r="AD86" s="4">
        <f t="shared" si="56"/>
        <v>1.6965471659127802</v>
      </c>
      <c r="AE86" s="4">
        <f t="shared" si="56"/>
        <v>1.5864173188183723</v>
      </c>
      <c r="AF86" s="4">
        <f t="shared" si="56"/>
        <v>1.4818191376587511</v>
      </c>
      <c r="AG86" s="4">
        <f t="shared" si="56"/>
        <v>1.3703614823812829</v>
      </c>
      <c r="AH86" s="4">
        <f t="shared" si="56"/>
        <v>0</v>
      </c>
      <c r="AI86" s="4">
        <f t="shared" si="56"/>
        <v>0</v>
      </c>
      <c r="AJ86" s="4">
        <f t="shared" si="56"/>
        <v>0</v>
      </c>
      <c r="AK86" s="4">
        <f t="shared" si="56"/>
        <v>0</v>
      </c>
      <c r="AL86" s="4">
        <f t="shared" si="56"/>
        <v>0</v>
      </c>
      <c r="AM86" s="4">
        <f t="shared" si="56"/>
        <v>0</v>
      </c>
      <c r="AN86" s="4">
        <f t="shared" si="56"/>
        <v>0</v>
      </c>
      <c r="AO86" s="4">
        <f t="shared" si="56"/>
        <v>0</v>
      </c>
      <c r="AP86" s="4">
        <f t="shared" si="56"/>
        <v>0</v>
      </c>
    </row>
    <row r="87" spans="2:42" x14ac:dyDescent="0.25">
      <c r="B87" t="s">
        <v>56</v>
      </c>
      <c r="C87" s="9" t="str">
        <f>D12</f>
        <v>OPEC</v>
      </c>
      <c r="D87" s="4">
        <f t="shared" ref="D87:AP87" si="57">IFERROR(D38 * $C$69, 0)</f>
        <v>0</v>
      </c>
      <c r="E87" s="4">
        <f t="shared" si="57"/>
        <v>0</v>
      </c>
      <c r="F87" s="4">
        <f t="shared" si="57"/>
        <v>0</v>
      </c>
      <c r="G87" s="4">
        <f t="shared" si="57"/>
        <v>0.88352450325372445</v>
      </c>
      <c r="H87" s="4">
        <f t="shared" si="57"/>
        <v>1.7292239754127294</v>
      </c>
      <c r="I87" s="4">
        <f t="shared" si="57"/>
        <v>3.8157217301027262</v>
      </c>
      <c r="J87" s="4">
        <f t="shared" si="57"/>
        <v>3.8518713974127312</v>
      </c>
      <c r="K87" s="4">
        <f t="shared" si="57"/>
        <v>3.717023284061197</v>
      </c>
      <c r="L87" s="4">
        <f t="shared" si="57"/>
        <v>3.5854641490841015</v>
      </c>
      <c r="M87" s="4">
        <f t="shared" si="57"/>
        <v>3.4571137734966859</v>
      </c>
      <c r="N87" s="4">
        <f t="shared" si="57"/>
        <v>3.3146106304314653</v>
      </c>
      <c r="O87" s="4">
        <f t="shared" si="57"/>
        <v>3.0672572517972343</v>
      </c>
      <c r="P87" s="4">
        <f t="shared" si="57"/>
        <v>3.7681490036179746</v>
      </c>
      <c r="Q87" s="4">
        <f t="shared" si="57"/>
        <v>3.6494986473727575</v>
      </c>
      <c r="R87" s="4">
        <f t="shared" si="57"/>
        <v>3.51596450074081</v>
      </c>
      <c r="S87" s="4">
        <f t="shared" si="57"/>
        <v>3.6114531631868956</v>
      </c>
      <c r="T87" s="4">
        <f t="shared" si="57"/>
        <v>3.6517317370214997</v>
      </c>
      <c r="U87" s="4">
        <f t="shared" si="57"/>
        <v>3.6471693013778799</v>
      </c>
      <c r="V87" s="4">
        <f t="shared" si="57"/>
        <v>3.9550941749268138</v>
      </c>
      <c r="W87" s="4">
        <f t="shared" si="57"/>
        <v>3.6591067680616227</v>
      </c>
      <c r="X87" s="4">
        <f t="shared" si="57"/>
        <v>3.3749958371394086</v>
      </c>
      <c r="Y87" s="4">
        <f t="shared" si="57"/>
        <v>3.3266524063636123</v>
      </c>
      <c r="Z87" s="4">
        <f t="shared" si="57"/>
        <v>3.0696607645313989</v>
      </c>
      <c r="AA87" s="4">
        <f t="shared" si="57"/>
        <v>2.833231188960684</v>
      </c>
      <c r="AB87" s="4">
        <f t="shared" si="57"/>
        <v>2.7832745383127082</v>
      </c>
      <c r="AC87" s="4">
        <f t="shared" si="57"/>
        <v>2.5702852927018256</v>
      </c>
      <c r="AD87" s="4">
        <f t="shared" si="57"/>
        <v>2.3744432614074089</v>
      </c>
      <c r="AE87" s="4">
        <f t="shared" si="57"/>
        <v>2.1941797105664462</v>
      </c>
      <c r="AF87" s="4">
        <f t="shared" si="57"/>
        <v>2.0283534383209627</v>
      </c>
      <c r="AG87" s="4">
        <f t="shared" si="57"/>
        <v>1.8757872360336576</v>
      </c>
      <c r="AH87" s="4">
        <f t="shared" si="57"/>
        <v>0</v>
      </c>
      <c r="AI87" s="4">
        <f t="shared" si="57"/>
        <v>0</v>
      </c>
      <c r="AJ87" s="4">
        <f t="shared" si="57"/>
        <v>0</v>
      </c>
      <c r="AK87" s="4">
        <f t="shared" si="57"/>
        <v>0</v>
      </c>
      <c r="AL87" s="4">
        <f t="shared" si="57"/>
        <v>0</v>
      </c>
      <c r="AM87" s="4">
        <f t="shared" si="57"/>
        <v>0</v>
      </c>
      <c r="AN87" s="4">
        <f t="shared" si="57"/>
        <v>0</v>
      </c>
      <c r="AO87" s="4">
        <f t="shared" si="57"/>
        <v>0</v>
      </c>
      <c r="AP87" s="4">
        <f t="shared" si="57"/>
        <v>0</v>
      </c>
    </row>
    <row r="89" spans="2:42" x14ac:dyDescent="0.25">
      <c r="B89" t="s">
        <v>57</v>
      </c>
      <c r="C89" s="9" t="str">
        <f>D10</f>
        <v>NZE</v>
      </c>
      <c r="D89" s="4">
        <f>SUM(D85:AP85)</f>
        <v>2.457448099668738</v>
      </c>
      <c r="I89" s="1"/>
    </row>
    <row r="90" spans="2:42" x14ac:dyDescent="0.25">
      <c r="B90" t="s">
        <v>57</v>
      </c>
      <c r="C90" s="9" t="str">
        <f>D11</f>
        <v>APS</v>
      </c>
      <c r="D90" s="4">
        <f t="shared" ref="D90:D91" si="58">SUM(D86:AP86)</f>
        <v>67.454009518544083</v>
      </c>
      <c r="I90" s="1"/>
    </row>
    <row r="91" spans="2:42" x14ac:dyDescent="0.25">
      <c r="B91" t="s">
        <v>57</v>
      </c>
      <c r="C91" s="9" t="str">
        <f>D12</f>
        <v>OPEC</v>
      </c>
      <c r="D91" s="4">
        <f t="shared" si="58"/>
        <v>83.310841665696955</v>
      </c>
      <c r="I91" s="1"/>
    </row>
    <row r="93" spans="2:42" x14ac:dyDescent="0.25">
      <c r="B93" t="s">
        <v>58</v>
      </c>
      <c r="C93" s="9" t="str">
        <f>D10</f>
        <v>NZE</v>
      </c>
      <c r="D93" s="3">
        <f>D89/$C$7</f>
        <v>9.1016596284027335E-2</v>
      </c>
    </row>
    <row r="94" spans="2:42" x14ac:dyDescent="0.25">
      <c r="B94" t="s">
        <v>58</v>
      </c>
      <c r="C94" s="9" t="str">
        <f>D11</f>
        <v>APS</v>
      </c>
      <c r="D94" s="3">
        <f t="shared" ref="D94:D95" si="59">D90/$C$7</f>
        <v>2.498296648834966</v>
      </c>
    </row>
    <row r="95" spans="2:42" x14ac:dyDescent="0.25">
      <c r="B95" t="s">
        <v>58</v>
      </c>
      <c r="C95" s="9" t="str">
        <f>D12</f>
        <v>OPEC</v>
      </c>
      <c r="D95" s="3">
        <f t="shared" si="59"/>
        <v>3.0855867283591465</v>
      </c>
    </row>
    <row r="97" spans="2:42" x14ac:dyDescent="0.25">
      <c r="B97" s="15" t="s">
        <v>60</v>
      </c>
    </row>
    <row r="98" spans="2:42" x14ac:dyDescent="0.25">
      <c r="B98" t="s">
        <v>61</v>
      </c>
      <c r="C98" s="49">
        <v>3600</v>
      </c>
    </row>
    <row r="100" spans="2:42" x14ac:dyDescent="0.25">
      <c r="B100" s="8" t="s">
        <v>42</v>
      </c>
    </row>
    <row r="101" spans="2:42" x14ac:dyDescent="0.25">
      <c r="B101" t="s">
        <v>62</v>
      </c>
      <c r="C101" s="9" t="str">
        <f>D10</f>
        <v>NZE</v>
      </c>
      <c r="D101" s="4">
        <f t="shared" ref="D101:AP101" si="60">IFERROR((D36 * $C$98)/1000, 0)</f>
        <v>0</v>
      </c>
      <c r="E101" s="4">
        <f t="shared" si="60"/>
        <v>0</v>
      </c>
      <c r="F101" s="4">
        <f t="shared" si="60"/>
        <v>0</v>
      </c>
      <c r="G101" s="4">
        <f t="shared" si="60"/>
        <v>40.281202918701595</v>
      </c>
      <c r="H101" s="4">
        <f t="shared" si="60"/>
        <v>74.769244933661213</v>
      </c>
      <c r="I101" s="4">
        <f t="shared" si="60"/>
        <v>132.09210390248748</v>
      </c>
      <c r="J101" s="4">
        <f t="shared" si="60"/>
        <v>132.10024483721659</v>
      </c>
      <c r="K101" s="4">
        <f t="shared" si="60"/>
        <v>93.510263111671989</v>
      </c>
      <c r="L101" s="4">
        <f t="shared" si="60"/>
        <v>54.791826260173458</v>
      </c>
      <c r="M101" s="4">
        <f t="shared" si="60"/>
        <v>54.731369116368768</v>
      </c>
      <c r="N101" s="4">
        <f t="shared" si="60"/>
        <v>54.564897143618317</v>
      </c>
      <c r="O101" s="4">
        <f t="shared" si="60"/>
        <v>52.400994327736626</v>
      </c>
      <c r="P101" s="4">
        <f t="shared" si="60"/>
        <v>49.173079801399822</v>
      </c>
      <c r="Q101" s="4">
        <f t="shared" si="60"/>
        <v>45.298383096174625</v>
      </c>
      <c r="R101" s="4">
        <f t="shared" si="60"/>
        <v>41.826033670573402</v>
      </c>
      <c r="S101" s="4">
        <f t="shared" si="60"/>
        <v>38.512766256975176</v>
      </c>
      <c r="T101" s="4">
        <f t="shared" si="60"/>
        <v>35.52962342885958</v>
      </c>
      <c r="U101" s="4">
        <f t="shared" si="60"/>
        <v>32.681713943999341</v>
      </c>
      <c r="V101" s="4">
        <f t="shared" si="60"/>
        <v>8.8865892937285036</v>
      </c>
      <c r="W101" s="4">
        <f t="shared" si="60"/>
        <v>0</v>
      </c>
      <c r="X101" s="4">
        <f t="shared" si="60"/>
        <v>0</v>
      </c>
      <c r="Y101" s="4">
        <f t="shared" si="60"/>
        <v>0</v>
      </c>
      <c r="Z101" s="4">
        <f t="shared" si="60"/>
        <v>0</v>
      </c>
      <c r="AA101" s="4">
        <f t="shared" si="60"/>
        <v>0</v>
      </c>
      <c r="AB101" s="4">
        <f t="shared" si="60"/>
        <v>0</v>
      </c>
      <c r="AC101" s="4">
        <f t="shared" si="60"/>
        <v>0</v>
      </c>
      <c r="AD101" s="4">
        <f t="shared" si="60"/>
        <v>0</v>
      </c>
      <c r="AE101" s="4">
        <f t="shared" si="60"/>
        <v>0</v>
      </c>
      <c r="AF101" s="4">
        <f t="shared" si="60"/>
        <v>0</v>
      </c>
      <c r="AG101" s="4">
        <f t="shared" si="60"/>
        <v>0</v>
      </c>
      <c r="AH101" s="4">
        <f t="shared" si="60"/>
        <v>0</v>
      </c>
      <c r="AI101" s="4">
        <f t="shared" si="60"/>
        <v>0</v>
      </c>
      <c r="AJ101" s="4">
        <f t="shared" si="60"/>
        <v>0</v>
      </c>
      <c r="AK101" s="4">
        <f t="shared" si="60"/>
        <v>0</v>
      </c>
      <c r="AL101" s="4">
        <f t="shared" si="60"/>
        <v>0</v>
      </c>
      <c r="AM101" s="4">
        <f t="shared" si="60"/>
        <v>0</v>
      </c>
      <c r="AN101" s="4">
        <f t="shared" si="60"/>
        <v>0</v>
      </c>
      <c r="AO101" s="4">
        <f t="shared" si="60"/>
        <v>0</v>
      </c>
      <c r="AP101" s="4">
        <f t="shared" si="60"/>
        <v>0</v>
      </c>
    </row>
    <row r="102" spans="2:42" x14ac:dyDescent="0.25">
      <c r="B102" t="s">
        <v>62</v>
      </c>
      <c r="C102" s="9" t="str">
        <f>D11</f>
        <v>APS</v>
      </c>
      <c r="D102" s="4">
        <f t="shared" ref="D102:AP102" si="61">IFERROR((D37 * $C$98)/1000, 0)</f>
        <v>0</v>
      </c>
      <c r="E102" s="4">
        <f t="shared" si="61"/>
        <v>0</v>
      </c>
      <c r="F102" s="4">
        <f t="shared" si="61"/>
        <v>0</v>
      </c>
      <c r="G102" s="4">
        <f t="shared" si="61"/>
        <v>231.60536908199191</v>
      </c>
      <c r="H102" s="4">
        <f t="shared" si="61"/>
        <v>507.50150143890511</v>
      </c>
      <c r="I102" s="4">
        <f t="shared" si="61"/>
        <v>927.10335145792101</v>
      </c>
      <c r="J102" s="4">
        <f t="shared" si="61"/>
        <v>986.55349269114708</v>
      </c>
      <c r="K102" s="4">
        <f t="shared" si="61"/>
        <v>1105.7318580100105</v>
      </c>
      <c r="L102" s="4">
        <f t="shared" si="61"/>
        <v>1125.1104539968185</v>
      </c>
      <c r="M102" s="4">
        <f t="shared" si="61"/>
        <v>1172.753441203409</v>
      </c>
      <c r="N102" s="4">
        <f t="shared" si="61"/>
        <v>1416.2185420394053</v>
      </c>
      <c r="O102" s="4">
        <f t="shared" si="61"/>
        <v>1449.8335770473805</v>
      </c>
      <c r="P102" s="4">
        <f t="shared" si="61"/>
        <v>1443.1208950026285</v>
      </c>
      <c r="Q102" s="4">
        <f t="shared" si="61"/>
        <v>1374.9779332232397</v>
      </c>
      <c r="R102" s="4">
        <f t="shared" si="61"/>
        <v>1305.7226538688544</v>
      </c>
      <c r="S102" s="4">
        <f t="shared" si="61"/>
        <v>1236.3196627685736</v>
      </c>
      <c r="T102" s="4">
        <f t="shared" si="61"/>
        <v>1167.5455702980944</v>
      </c>
      <c r="U102" s="4">
        <f t="shared" si="61"/>
        <v>1100.0175426330429</v>
      </c>
      <c r="V102" s="4">
        <f t="shared" si="61"/>
        <v>1047.5651572940858</v>
      </c>
      <c r="W102" s="4">
        <f t="shared" si="61"/>
        <v>994.53155458463971</v>
      </c>
      <c r="X102" s="4">
        <f t="shared" si="61"/>
        <v>941.59994761518715</v>
      </c>
      <c r="Y102" s="4">
        <f t="shared" si="61"/>
        <v>889.31823381697109</v>
      </c>
      <c r="Z102" s="4">
        <f t="shared" si="61"/>
        <v>838.11965737276842</v>
      </c>
      <c r="AA102" s="4">
        <f t="shared" si="61"/>
        <v>788.34065016277373</v>
      </c>
      <c r="AB102" s="4">
        <f t="shared" si="61"/>
        <v>740.23621309203634</v>
      </c>
      <c r="AC102" s="4">
        <f t="shared" si="61"/>
        <v>693.99315508548159</v>
      </c>
      <c r="AD102" s="4">
        <f t="shared" si="61"/>
        <v>649.74146779638386</v>
      </c>
      <c r="AE102" s="4">
        <f t="shared" si="61"/>
        <v>607.56407954746169</v>
      </c>
      <c r="AF102" s="4">
        <f t="shared" si="61"/>
        <v>567.50520165654291</v>
      </c>
      <c r="AG102" s="4">
        <f t="shared" si="61"/>
        <v>524.81929112474654</v>
      </c>
      <c r="AH102" s="4">
        <f t="shared" si="61"/>
        <v>0</v>
      </c>
      <c r="AI102" s="4">
        <f t="shared" si="61"/>
        <v>0</v>
      </c>
      <c r="AJ102" s="4">
        <f t="shared" si="61"/>
        <v>0</v>
      </c>
      <c r="AK102" s="4">
        <f t="shared" si="61"/>
        <v>0</v>
      </c>
      <c r="AL102" s="4">
        <f t="shared" si="61"/>
        <v>0</v>
      </c>
      <c r="AM102" s="4">
        <f t="shared" si="61"/>
        <v>0</v>
      </c>
      <c r="AN102" s="4">
        <f t="shared" si="61"/>
        <v>0</v>
      </c>
      <c r="AO102" s="4">
        <f t="shared" si="61"/>
        <v>0</v>
      </c>
      <c r="AP102" s="4">
        <f t="shared" si="61"/>
        <v>0</v>
      </c>
    </row>
    <row r="103" spans="2:42" x14ac:dyDescent="0.25">
      <c r="B103" t="s">
        <v>62</v>
      </c>
      <c r="C103" s="9" t="str">
        <f>D12</f>
        <v>OPEC</v>
      </c>
      <c r="D103" s="4">
        <f t="shared" ref="D103:AP103" si="62">IFERROR((D38 * $C$98)/1000, 0)</f>
        <v>0</v>
      </c>
      <c r="E103" s="4">
        <f t="shared" si="62"/>
        <v>0</v>
      </c>
      <c r="F103" s="4">
        <f t="shared" si="62"/>
        <v>0</v>
      </c>
      <c r="G103" s="4">
        <f t="shared" si="62"/>
        <v>338.37108635249018</v>
      </c>
      <c r="H103" s="4">
        <f t="shared" si="62"/>
        <v>662.25599058359853</v>
      </c>
      <c r="I103" s="4">
        <f t="shared" si="62"/>
        <v>1461.3402370606186</v>
      </c>
      <c r="J103" s="4">
        <f t="shared" si="62"/>
        <v>1475.1847904984927</v>
      </c>
      <c r="K103" s="4">
        <f t="shared" si="62"/>
        <v>1423.5408321936497</v>
      </c>
      <c r="L103" s="4">
        <f t="shared" si="62"/>
        <v>1373.1564826279539</v>
      </c>
      <c r="M103" s="4">
        <f t="shared" si="62"/>
        <v>1324.0010196370288</v>
      </c>
      <c r="N103" s="4">
        <f t="shared" si="62"/>
        <v>1269.4253478248165</v>
      </c>
      <c r="O103" s="4">
        <f t="shared" si="62"/>
        <v>1174.6942666457494</v>
      </c>
      <c r="P103" s="4">
        <f t="shared" si="62"/>
        <v>1443.1208950026285</v>
      </c>
      <c r="Q103" s="4">
        <f t="shared" si="62"/>
        <v>1397.6803330363753</v>
      </c>
      <c r="R103" s="4">
        <f t="shared" si="62"/>
        <v>1346.5395960283952</v>
      </c>
      <c r="S103" s="4">
        <f t="shared" si="62"/>
        <v>1383.1097220715772</v>
      </c>
      <c r="T103" s="4">
        <f t="shared" si="62"/>
        <v>1398.5355588592977</v>
      </c>
      <c r="U103" s="4">
        <f t="shared" si="62"/>
        <v>1396.78824308089</v>
      </c>
      <c r="V103" s="4">
        <f t="shared" si="62"/>
        <v>1514.7169180570775</v>
      </c>
      <c r="W103" s="4">
        <f t="shared" si="62"/>
        <v>1401.3600388321106</v>
      </c>
      <c r="X103" s="4">
        <f t="shared" si="62"/>
        <v>1292.5515972023265</v>
      </c>
      <c r="Y103" s="4">
        <f t="shared" si="62"/>
        <v>1274.03709179883</v>
      </c>
      <c r="Z103" s="4">
        <f t="shared" si="62"/>
        <v>1175.6147608843653</v>
      </c>
      <c r="AA103" s="4">
        <f t="shared" si="62"/>
        <v>1085.0672638572833</v>
      </c>
      <c r="AB103" s="4">
        <f t="shared" si="62"/>
        <v>1065.9349295665691</v>
      </c>
      <c r="AC103" s="4">
        <f t="shared" si="62"/>
        <v>984.36458018367784</v>
      </c>
      <c r="AD103" s="4">
        <f t="shared" si="62"/>
        <v>909.36124904964595</v>
      </c>
      <c r="AE103" s="4">
        <f t="shared" si="62"/>
        <v>840.32414447225597</v>
      </c>
      <c r="AF103" s="4">
        <f t="shared" si="62"/>
        <v>776.81621042079416</v>
      </c>
      <c r="AG103" s="4">
        <f t="shared" si="62"/>
        <v>718.38660103416669</v>
      </c>
      <c r="AH103" s="4">
        <f t="shared" si="62"/>
        <v>0</v>
      </c>
      <c r="AI103" s="4">
        <f t="shared" si="62"/>
        <v>0</v>
      </c>
      <c r="AJ103" s="4">
        <f t="shared" si="62"/>
        <v>0</v>
      </c>
      <c r="AK103" s="4">
        <f t="shared" si="62"/>
        <v>0</v>
      </c>
      <c r="AL103" s="4">
        <f t="shared" si="62"/>
        <v>0</v>
      </c>
      <c r="AM103" s="4">
        <f t="shared" si="62"/>
        <v>0</v>
      </c>
      <c r="AN103" s="4">
        <f t="shared" si="62"/>
        <v>0</v>
      </c>
      <c r="AO103" s="4">
        <f t="shared" si="62"/>
        <v>0</v>
      </c>
      <c r="AP103" s="4">
        <f t="shared" si="62"/>
        <v>0</v>
      </c>
    </row>
    <row r="105" spans="2:42" x14ac:dyDescent="0.25">
      <c r="B105" s="8" t="s">
        <v>44</v>
      </c>
    </row>
    <row r="106" spans="2:42" x14ac:dyDescent="0.25">
      <c r="B106" t="s">
        <v>63</v>
      </c>
      <c r="C106" s="9" t="str">
        <f>D10</f>
        <v>NZE</v>
      </c>
      <c r="D106" s="4">
        <f t="shared" ref="D106:AP106" si="63">IFERROR((D43 * $C$98)/1000, 0)</f>
        <v>0</v>
      </c>
      <c r="E106" s="4">
        <f t="shared" si="63"/>
        <v>0</v>
      </c>
      <c r="F106" s="4">
        <f t="shared" si="63"/>
        <v>0</v>
      </c>
      <c r="G106" s="4">
        <f t="shared" si="63"/>
        <v>2.4168721751220952</v>
      </c>
      <c r="H106" s="4">
        <f t="shared" si="63"/>
        <v>4.486154696019673</v>
      </c>
      <c r="I106" s="4">
        <f t="shared" si="63"/>
        <v>7.9255262341492498</v>
      </c>
      <c r="J106" s="4">
        <f t="shared" si="63"/>
        <v>7.9260146902329964</v>
      </c>
      <c r="K106" s="4">
        <f t="shared" si="63"/>
        <v>5.6106157867003192</v>
      </c>
      <c r="L106" s="4">
        <f t="shared" si="63"/>
        <v>3.2875095756104074</v>
      </c>
      <c r="M106" s="4">
        <f t="shared" si="63"/>
        <v>3.2838821469821258</v>
      </c>
      <c r="N106" s="4">
        <f t="shared" si="63"/>
        <v>3.2738938286170987</v>
      </c>
      <c r="O106" s="4">
        <f t="shared" si="63"/>
        <v>3.1440596596641974</v>
      </c>
      <c r="P106" s="4">
        <f t="shared" si="63"/>
        <v>2.9503847880839893</v>
      </c>
      <c r="Q106" s="4">
        <f t="shared" si="63"/>
        <v>2.7179029857704773</v>
      </c>
      <c r="R106" s="4">
        <f t="shared" si="63"/>
        <v>2.5095620202344038</v>
      </c>
      <c r="S106" s="4">
        <f t="shared" si="63"/>
        <v>2.3107659754185108</v>
      </c>
      <c r="T106" s="4">
        <f t="shared" si="63"/>
        <v>2.1317774057315746</v>
      </c>
      <c r="U106" s="4">
        <f t="shared" si="63"/>
        <v>1.9609028366399603</v>
      </c>
      <c r="V106" s="4">
        <f t="shared" si="63"/>
        <v>0.53319535762371029</v>
      </c>
      <c r="W106" s="4">
        <f t="shared" si="63"/>
        <v>0</v>
      </c>
      <c r="X106" s="4">
        <f t="shared" si="63"/>
        <v>0</v>
      </c>
      <c r="Y106" s="4">
        <f t="shared" si="63"/>
        <v>0</v>
      </c>
      <c r="Z106" s="4">
        <f t="shared" si="63"/>
        <v>0</v>
      </c>
      <c r="AA106" s="4">
        <f t="shared" si="63"/>
        <v>0</v>
      </c>
      <c r="AB106" s="4">
        <f t="shared" si="63"/>
        <v>0</v>
      </c>
      <c r="AC106" s="4">
        <f t="shared" si="63"/>
        <v>0</v>
      </c>
      <c r="AD106" s="4">
        <f t="shared" si="63"/>
        <v>0</v>
      </c>
      <c r="AE106" s="4">
        <f t="shared" si="63"/>
        <v>0</v>
      </c>
      <c r="AF106" s="4">
        <f t="shared" si="63"/>
        <v>0</v>
      </c>
      <c r="AG106" s="4">
        <f t="shared" si="63"/>
        <v>0</v>
      </c>
      <c r="AH106" s="4">
        <f t="shared" si="63"/>
        <v>0</v>
      </c>
      <c r="AI106" s="4">
        <f t="shared" si="63"/>
        <v>0</v>
      </c>
      <c r="AJ106" s="4">
        <f t="shared" si="63"/>
        <v>0</v>
      </c>
      <c r="AK106" s="4">
        <f t="shared" si="63"/>
        <v>0</v>
      </c>
      <c r="AL106" s="4">
        <f t="shared" si="63"/>
        <v>0</v>
      </c>
      <c r="AM106" s="4">
        <f t="shared" si="63"/>
        <v>0</v>
      </c>
      <c r="AN106" s="4">
        <f t="shared" si="63"/>
        <v>0</v>
      </c>
      <c r="AO106" s="4">
        <f t="shared" si="63"/>
        <v>0</v>
      </c>
      <c r="AP106" s="4">
        <f t="shared" si="63"/>
        <v>0</v>
      </c>
    </row>
    <row r="107" spans="2:42" x14ac:dyDescent="0.25">
      <c r="B107" t="s">
        <v>63</v>
      </c>
      <c r="C107" s="9" t="str">
        <f>D11</f>
        <v>APS</v>
      </c>
      <c r="D107" s="4">
        <f t="shared" ref="D107:AP107" si="64">IFERROR((D44 * $C$98)/1000, 0)</f>
        <v>0</v>
      </c>
      <c r="E107" s="4">
        <f t="shared" si="64"/>
        <v>0</v>
      </c>
      <c r="F107" s="4">
        <f t="shared" si="64"/>
        <v>0</v>
      </c>
      <c r="G107" s="4">
        <f t="shared" si="64"/>
        <v>13.896322144919512</v>
      </c>
      <c r="H107" s="4">
        <f t="shared" si="64"/>
        <v>30.450090086334306</v>
      </c>
      <c r="I107" s="4">
        <f t="shared" si="64"/>
        <v>55.626201087475252</v>
      </c>
      <c r="J107" s="4">
        <f t="shared" si="64"/>
        <v>59.193209561468819</v>
      </c>
      <c r="K107" s="4">
        <f t="shared" si="64"/>
        <v>66.343911480600639</v>
      </c>
      <c r="L107" s="4">
        <f t="shared" si="64"/>
        <v>67.50662723980912</v>
      </c>
      <c r="M107" s="4">
        <f t="shared" si="64"/>
        <v>70.365206472204548</v>
      </c>
      <c r="N107" s="4">
        <f t="shared" si="64"/>
        <v>84.973112522364332</v>
      </c>
      <c r="O107" s="4">
        <f t="shared" si="64"/>
        <v>86.990014622842821</v>
      </c>
      <c r="P107" s="4">
        <f t="shared" si="64"/>
        <v>86.587253700157703</v>
      </c>
      <c r="Q107" s="4">
        <f t="shared" si="64"/>
        <v>82.498675993394386</v>
      </c>
      <c r="R107" s="4">
        <f t="shared" si="64"/>
        <v>78.343359232131263</v>
      </c>
      <c r="S107" s="4">
        <f t="shared" si="64"/>
        <v>74.179179766114387</v>
      </c>
      <c r="T107" s="4">
        <f t="shared" si="64"/>
        <v>70.052734217885643</v>
      </c>
      <c r="U107" s="4">
        <f t="shared" si="64"/>
        <v>66.001052557982561</v>
      </c>
      <c r="V107" s="4">
        <f t="shared" si="64"/>
        <v>62.85390943764515</v>
      </c>
      <c r="W107" s="4">
        <f t="shared" si="64"/>
        <v>59.671893275078382</v>
      </c>
      <c r="X107" s="4">
        <f t="shared" si="64"/>
        <v>56.495996856911226</v>
      </c>
      <c r="Y107" s="4">
        <f t="shared" si="64"/>
        <v>53.359094029018266</v>
      </c>
      <c r="Z107" s="4">
        <f t="shared" si="64"/>
        <v>50.287179442366096</v>
      </c>
      <c r="AA107" s="4">
        <f t="shared" si="64"/>
        <v>47.300439009766414</v>
      </c>
      <c r="AB107" s="4">
        <f t="shared" si="64"/>
        <v>44.414172785522183</v>
      </c>
      <c r="AC107" s="4">
        <f t="shared" si="64"/>
        <v>41.639589305128894</v>
      </c>
      <c r="AD107" s="4">
        <f t="shared" si="64"/>
        <v>38.984488067783033</v>
      </c>
      <c r="AE107" s="4">
        <f t="shared" si="64"/>
        <v>36.453844772847702</v>
      </c>
      <c r="AF107" s="4">
        <f t="shared" si="64"/>
        <v>34.050312099392578</v>
      </c>
      <c r="AG107" s="4">
        <f t="shared" si="64"/>
        <v>31.489157467484794</v>
      </c>
      <c r="AH107" s="4">
        <f t="shared" si="64"/>
        <v>0</v>
      </c>
      <c r="AI107" s="4">
        <f t="shared" si="64"/>
        <v>0</v>
      </c>
      <c r="AJ107" s="4">
        <f t="shared" si="64"/>
        <v>0</v>
      </c>
      <c r="AK107" s="4">
        <f t="shared" si="64"/>
        <v>0</v>
      </c>
      <c r="AL107" s="4">
        <f t="shared" si="64"/>
        <v>0</v>
      </c>
      <c r="AM107" s="4">
        <f t="shared" si="64"/>
        <v>0</v>
      </c>
      <c r="AN107" s="4">
        <f t="shared" si="64"/>
        <v>0</v>
      </c>
      <c r="AO107" s="4">
        <f t="shared" si="64"/>
        <v>0</v>
      </c>
      <c r="AP107" s="4">
        <f t="shared" si="64"/>
        <v>0</v>
      </c>
    </row>
    <row r="108" spans="2:42" x14ac:dyDescent="0.25">
      <c r="B108" t="s">
        <v>63</v>
      </c>
      <c r="C108" s="9" t="str">
        <f>D12</f>
        <v>OPEC</v>
      </c>
      <c r="D108" s="4">
        <f t="shared" ref="D108:AP108" si="65">IFERROR((D45 * $C$98)/1000, 0)</f>
        <v>0</v>
      </c>
      <c r="E108" s="4">
        <f t="shared" si="65"/>
        <v>0</v>
      </c>
      <c r="F108" s="4">
        <f t="shared" si="65"/>
        <v>0</v>
      </c>
      <c r="G108" s="4">
        <f t="shared" si="65"/>
        <v>20.302265181149412</v>
      </c>
      <c r="H108" s="4">
        <f t="shared" si="65"/>
        <v>39.735359435015909</v>
      </c>
      <c r="I108" s="4">
        <f t="shared" si="65"/>
        <v>87.680414223637115</v>
      </c>
      <c r="J108" s="4">
        <f t="shared" si="65"/>
        <v>88.511087429909566</v>
      </c>
      <c r="K108" s="4">
        <f t="shared" si="65"/>
        <v>85.412449931618994</v>
      </c>
      <c r="L108" s="4">
        <f t="shared" si="65"/>
        <v>82.389388957677227</v>
      </c>
      <c r="M108" s="4">
        <f t="shared" si="65"/>
        <v>79.440061178221711</v>
      </c>
      <c r="N108" s="4">
        <f t="shared" si="65"/>
        <v>76.165520869488986</v>
      </c>
      <c r="O108" s="4">
        <f t="shared" si="65"/>
        <v>70.481655998744955</v>
      </c>
      <c r="P108" s="4">
        <f t="shared" si="65"/>
        <v>86.587253700157703</v>
      </c>
      <c r="Q108" s="4">
        <f t="shared" si="65"/>
        <v>83.860819982182505</v>
      </c>
      <c r="R108" s="4">
        <f t="shared" si="65"/>
        <v>80.792375761703724</v>
      </c>
      <c r="S108" s="4">
        <f t="shared" si="65"/>
        <v>82.986583324294628</v>
      </c>
      <c r="T108" s="4">
        <f t="shared" si="65"/>
        <v>83.912133531557856</v>
      </c>
      <c r="U108" s="4">
        <f t="shared" si="65"/>
        <v>83.807294584853409</v>
      </c>
      <c r="V108" s="4">
        <f t="shared" si="65"/>
        <v>90.883015083424667</v>
      </c>
      <c r="W108" s="4">
        <f t="shared" si="65"/>
        <v>84.081602329926639</v>
      </c>
      <c r="X108" s="4">
        <f t="shared" si="65"/>
        <v>77.553095832139604</v>
      </c>
      <c r="Y108" s="4">
        <f t="shared" si="65"/>
        <v>76.442225507929805</v>
      </c>
      <c r="Z108" s="4">
        <f t="shared" si="65"/>
        <v>70.53688565306193</v>
      </c>
      <c r="AA108" s="4">
        <f t="shared" si="65"/>
        <v>65.104035831436988</v>
      </c>
      <c r="AB108" s="4">
        <f t="shared" si="65"/>
        <v>63.956095773994143</v>
      </c>
      <c r="AC108" s="4">
        <f t="shared" si="65"/>
        <v>59.061874811020665</v>
      </c>
      <c r="AD108" s="4">
        <f t="shared" si="65"/>
        <v>54.561674942978762</v>
      </c>
      <c r="AE108" s="4">
        <f t="shared" si="65"/>
        <v>50.419448668335356</v>
      </c>
      <c r="AF108" s="4">
        <f t="shared" si="65"/>
        <v>46.608972625247645</v>
      </c>
      <c r="AG108" s="4">
        <f t="shared" si="65"/>
        <v>43.103196062050003</v>
      </c>
      <c r="AH108" s="4">
        <f t="shared" si="65"/>
        <v>0</v>
      </c>
      <c r="AI108" s="4">
        <f t="shared" si="65"/>
        <v>0</v>
      </c>
      <c r="AJ108" s="4">
        <f t="shared" si="65"/>
        <v>0</v>
      </c>
      <c r="AK108" s="4">
        <f t="shared" si="65"/>
        <v>0</v>
      </c>
      <c r="AL108" s="4">
        <f t="shared" si="65"/>
        <v>0</v>
      </c>
      <c r="AM108" s="4">
        <f t="shared" si="65"/>
        <v>0</v>
      </c>
      <c r="AN108" s="4">
        <f t="shared" si="65"/>
        <v>0</v>
      </c>
      <c r="AO108" s="4">
        <f t="shared" si="65"/>
        <v>0</v>
      </c>
      <c r="AP108" s="4">
        <f t="shared" si="65"/>
        <v>0</v>
      </c>
    </row>
    <row r="110" spans="2:42" x14ac:dyDescent="0.25">
      <c r="B110" t="s">
        <v>64</v>
      </c>
      <c r="C110" s="9" t="str">
        <f>D10</f>
        <v>NZE</v>
      </c>
      <c r="D110" s="4">
        <f>SUM(D106:AP106)</f>
        <v>56.469020162600785</v>
      </c>
      <c r="I110" s="1"/>
    </row>
    <row r="111" spans="2:42" x14ac:dyDescent="0.25">
      <c r="B111" t="s">
        <v>64</v>
      </c>
      <c r="C111" s="9" t="str">
        <f>D11</f>
        <v>APS</v>
      </c>
      <c r="D111" s="4">
        <f t="shared" ref="D111:D112" si="66">SUM(D107:AP107)</f>
        <v>1550.0070272346304</v>
      </c>
      <c r="I111" s="1"/>
    </row>
    <row r="112" spans="2:42" x14ac:dyDescent="0.25">
      <c r="B112" t="s">
        <v>64</v>
      </c>
      <c r="C112" s="9" t="str">
        <f>D12</f>
        <v>OPEC</v>
      </c>
      <c r="D112" s="4">
        <f t="shared" si="66"/>
        <v>1914.3767872117601</v>
      </c>
      <c r="I112" s="1"/>
    </row>
    <row r="114" spans="2:42" x14ac:dyDescent="0.25">
      <c r="B114" t="s">
        <v>65</v>
      </c>
      <c r="C114" s="9" t="str">
        <f>D10</f>
        <v>NZE</v>
      </c>
      <c r="D114" s="3">
        <f>D110/$C$7</f>
        <v>2.0914451912074363</v>
      </c>
    </row>
    <row r="115" spans="2:42" x14ac:dyDescent="0.25">
      <c r="B115" t="s">
        <v>65</v>
      </c>
      <c r="C115" s="9" t="str">
        <f>D11</f>
        <v>APS</v>
      </c>
      <c r="D115" s="3">
        <f t="shared" ref="D115:D116" si="67">D111/$C$7</f>
        <v>57.407667675356684</v>
      </c>
    </row>
    <row r="116" spans="2:42" x14ac:dyDescent="0.25">
      <c r="B116" t="s">
        <v>65</v>
      </c>
      <c r="C116" s="9" t="str">
        <f>D12</f>
        <v>OPEC</v>
      </c>
      <c r="D116" s="3">
        <f t="shared" si="67"/>
        <v>70.902843970805932</v>
      </c>
    </row>
    <row r="118" spans="2:42" x14ac:dyDescent="0.25">
      <c r="B118" t="s">
        <v>66</v>
      </c>
      <c r="C118" s="9" t="str">
        <f>D10</f>
        <v>NZE</v>
      </c>
      <c r="D118" s="1">
        <f>D110 * $C$55</f>
        <v>28.234510081300392</v>
      </c>
    </row>
    <row r="119" spans="2:42" x14ac:dyDescent="0.25">
      <c r="B119" t="s">
        <v>66</v>
      </c>
      <c r="C119" s="9" t="str">
        <f>D11</f>
        <v>APS</v>
      </c>
      <c r="D119" s="1">
        <f t="shared" ref="D119:D120" si="68">D111 * $C$55</f>
        <v>775.00351361731521</v>
      </c>
    </row>
    <row r="120" spans="2:42" x14ac:dyDescent="0.25">
      <c r="B120" t="s">
        <v>66</v>
      </c>
      <c r="C120" s="9" t="str">
        <f>D12</f>
        <v>OPEC</v>
      </c>
      <c r="D120" s="1">
        <f t="shared" si="68"/>
        <v>957.18839360588004</v>
      </c>
    </row>
    <row r="122" spans="2:42" x14ac:dyDescent="0.25">
      <c r="B122" t="s">
        <v>67</v>
      </c>
      <c r="C122" s="9" t="str">
        <f>D10</f>
        <v>NZE</v>
      </c>
      <c r="D122" s="1">
        <f>D110 * $C$56</f>
        <v>28.234510081300392</v>
      </c>
    </row>
    <row r="123" spans="2:42" x14ac:dyDescent="0.25">
      <c r="B123" t="s">
        <v>67</v>
      </c>
      <c r="C123" s="9" t="str">
        <f>D11</f>
        <v>APS</v>
      </c>
      <c r="D123" s="1">
        <f t="shared" ref="D123:D124" si="69">D111 * $C$56</f>
        <v>775.00351361731521</v>
      </c>
    </row>
    <row r="124" spans="2:42" x14ac:dyDescent="0.25">
      <c r="B124" t="s">
        <v>67</v>
      </c>
      <c r="C124" s="9" t="str">
        <f>D12</f>
        <v>OPEC</v>
      </c>
      <c r="D124" s="1">
        <f t="shared" si="69"/>
        <v>957.18839360588004</v>
      </c>
    </row>
    <row r="126" spans="2:42" x14ac:dyDescent="0.25">
      <c r="B126" s="8" t="s">
        <v>53</v>
      </c>
      <c r="D126" s="1"/>
    </row>
    <row r="127" spans="2:42" x14ac:dyDescent="0.25">
      <c r="B127" s="13" t="s">
        <v>54</v>
      </c>
      <c r="C127" s="1"/>
      <c r="D127" s="1"/>
    </row>
    <row r="128" spans="2:42" x14ac:dyDescent="0.25">
      <c r="B128" t="s">
        <v>68</v>
      </c>
      <c r="C128" s="9" t="str">
        <f>D10</f>
        <v>NZE</v>
      </c>
      <c r="D128" s="4">
        <f t="shared" ref="D128:AP128" si="70">IFERROR((D72 * $C$98)/1000, 0)</f>
        <v>0</v>
      </c>
      <c r="E128" s="4">
        <f t="shared" si="70"/>
        <v>0</v>
      </c>
      <c r="F128" s="4">
        <f t="shared" si="70"/>
        <v>0</v>
      </c>
      <c r="G128" s="4">
        <f t="shared" si="70"/>
        <v>0.40281202918701592</v>
      </c>
      <c r="H128" s="4">
        <f t="shared" si="70"/>
        <v>0.74769244933661216</v>
      </c>
      <c r="I128" s="4">
        <f t="shared" si="70"/>
        <v>1.3209210390248749</v>
      </c>
      <c r="J128" s="4">
        <f t="shared" si="70"/>
        <v>1.3210024483721661</v>
      </c>
      <c r="K128" s="4">
        <f t="shared" si="70"/>
        <v>0.93510263111671987</v>
      </c>
      <c r="L128" s="4">
        <f t="shared" si="70"/>
        <v>0.5479182626017346</v>
      </c>
      <c r="M128" s="4">
        <f t="shared" si="70"/>
        <v>0.54731369116368778</v>
      </c>
      <c r="N128" s="4">
        <f t="shared" si="70"/>
        <v>0.54564897143618318</v>
      </c>
      <c r="O128" s="4">
        <f t="shared" si="70"/>
        <v>0.52400994327736627</v>
      </c>
      <c r="P128" s="4">
        <f t="shared" si="70"/>
        <v>0.49173079801399822</v>
      </c>
      <c r="Q128" s="4">
        <f t="shared" si="70"/>
        <v>0.45298383096174627</v>
      </c>
      <c r="R128" s="4">
        <f t="shared" si="70"/>
        <v>0.41826033670573398</v>
      </c>
      <c r="S128" s="4">
        <f t="shared" si="70"/>
        <v>0.38512766256975178</v>
      </c>
      <c r="T128" s="4">
        <f t="shared" si="70"/>
        <v>0.3552962342885958</v>
      </c>
      <c r="U128" s="4">
        <f t="shared" si="70"/>
        <v>0.32681713943999341</v>
      </c>
      <c r="V128" s="4">
        <f t="shared" si="70"/>
        <v>8.8865892937285043E-2</v>
      </c>
      <c r="W128" s="4">
        <f t="shared" si="70"/>
        <v>0</v>
      </c>
      <c r="X128" s="4">
        <f t="shared" si="70"/>
        <v>0</v>
      </c>
      <c r="Y128" s="4">
        <f t="shared" si="70"/>
        <v>0</v>
      </c>
      <c r="Z128" s="4">
        <f t="shared" si="70"/>
        <v>0</v>
      </c>
      <c r="AA128" s="4">
        <f t="shared" si="70"/>
        <v>0</v>
      </c>
      <c r="AB128" s="4">
        <f t="shared" si="70"/>
        <v>0</v>
      </c>
      <c r="AC128" s="4">
        <f t="shared" si="70"/>
        <v>0</v>
      </c>
      <c r="AD128" s="4">
        <f t="shared" si="70"/>
        <v>0</v>
      </c>
      <c r="AE128" s="4">
        <f t="shared" si="70"/>
        <v>0</v>
      </c>
      <c r="AF128" s="4">
        <f t="shared" si="70"/>
        <v>0</v>
      </c>
      <c r="AG128" s="4">
        <f t="shared" si="70"/>
        <v>0</v>
      </c>
      <c r="AH128" s="4">
        <f t="shared" si="70"/>
        <v>0</v>
      </c>
      <c r="AI128" s="4">
        <f t="shared" si="70"/>
        <v>0</v>
      </c>
      <c r="AJ128" s="4">
        <f t="shared" si="70"/>
        <v>0</v>
      </c>
      <c r="AK128" s="4">
        <f t="shared" si="70"/>
        <v>0</v>
      </c>
      <c r="AL128" s="4">
        <f t="shared" si="70"/>
        <v>0</v>
      </c>
      <c r="AM128" s="4">
        <f t="shared" si="70"/>
        <v>0</v>
      </c>
      <c r="AN128" s="4">
        <f t="shared" si="70"/>
        <v>0</v>
      </c>
      <c r="AO128" s="4">
        <f t="shared" si="70"/>
        <v>0</v>
      </c>
      <c r="AP128" s="4">
        <f t="shared" si="70"/>
        <v>0</v>
      </c>
    </row>
    <row r="129" spans="2:42" x14ac:dyDescent="0.25">
      <c r="B129" t="s">
        <v>68</v>
      </c>
      <c r="C129" s="9" t="str">
        <f>D11</f>
        <v>APS</v>
      </c>
      <c r="D129" s="4">
        <f t="shared" ref="D129:AP129" si="71">IFERROR((D73 * $C$98)/1000, 0)</f>
        <v>0</v>
      </c>
      <c r="E129" s="4">
        <f t="shared" si="71"/>
        <v>0</v>
      </c>
      <c r="F129" s="4">
        <f t="shared" si="71"/>
        <v>0</v>
      </c>
      <c r="G129" s="4">
        <f t="shared" si="71"/>
        <v>2.3160536908199187</v>
      </c>
      <c r="H129" s="4">
        <f t="shared" si="71"/>
        <v>5.0750150143890513</v>
      </c>
      <c r="I129" s="4">
        <f t="shared" si="71"/>
        <v>9.2710335145792087</v>
      </c>
      <c r="J129" s="4">
        <f t="shared" si="71"/>
        <v>9.8655349269114705</v>
      </c>
      <c r="K129" s="4">
        <f t="shared" si="71"/>
        <v>11.057318580100107</v>
      </c>
      <c r="L129" s="4">
        <f t="shared" si="71"/>
        <v>11.251104539968185</v>
      </c>
      <c r="M129" s="4">
        <f t="shared" si="71"/>
        <v>11.727534412034091</v>
      </c>
      <c r="N129" s="4">
        <f t="shared" si="71"/>
        <v>14.162185420394055</v>
      </c>
      <c r="O129" s="4">
        <f t="shared" si="71"/>
        <v>14.498335770473805</v>
      </c>
      <c r="P129" s="4">
        <f t="shared" si="71"/>
        <v>14.431208950026285</v>
      </c>
      <c r="Q129" s="4">
        <f t="shared" si="71"/>
        <v>13.749779332232396</v>
      </c>
      <c r="R129" s="4">
        <f t="shared" si="71"/>
        <v>13.057226538688543</v>
      </c>
      <c r="S129" s="4">
        <f t="shared" si="71"/>
        <v>12.363196627685735</v>
      </c>
      <c r="T129" s="4">
        <f t="shared" si="71"/>
        <v>11.675455702980944</v>
      </c>
      <c r="U129" s="4">
        <f t="shared" si="71"/>
        <v>11.000175426330427</v>
      </c>
      <c r="V129" s="4">
        <f t="shared" si="71"/>
        <v>10.475651572940858</v>
      </c>
      <c r="W129" s="4">
        <f t="shared" si="71"/>
        <v>9.9453155458463964</v>
      </c>
      <c r="X129" s="4">
        <f t="shared" si="71"/>
        <v>9.4159994761518711</v>
      </c>
      <c r="Y129" s="4">
        <f t="shared" si="71"/>
        <v>8.8931823381697104</v>
      </c>
      <c r="Z129" s="4">
        <f t="shared" si="71"/>
        <v>8.381196573727685</v>
      </c>
      <c r="AA129" s="4">
        <f t="shared" si="71"/>
        <v>7.8834065016277375</v>
      </c>
      <c r="AB129" s="4">
        <f t="shared" si="71"/>
        <v>7.4023621309203635</v>
      </c>
      <c r="AC129" s="4">
        <f t="shared" si="71"/>
        <v>6.9399315508548165</v>
      </c>
      <c r="AD129" s="4">
        <f t="shared" si="71"/>
        <v>6.4974146779638389</v>
      </c>
      <c r="AE129" s="4">
        <f t="shared" si="71"/>
        <v>6.0756407954746177</v>
      </c>
      <c r="AF129" s="4">
        <f t="shared" si="71"/>
        <v>5.6750520165654299</v>
      </c>
      <c r="AG129" s="4">
        <f t="shared" si="71"/>
        <v>5.2481929112474663</v>
      </c>
      <c r="AH129" s="4">
        <f t="shared" si="71"/>
        <v>0</v>
      </c>
      <c r="AI129" s="4">
        <f t="shared" si="71"/>
        <v>0</v>
      </c>
      <c r="AJ129" s="4">
        <f t="shared" si="71"/>
        <v>0</v>
      </c>
      <c r="AK129" s="4">
        <f t="shared" si="71"/>
        <v>0</v>
      </c>
      <c r="AL129" s="4">
        <f t="shared" si="71"/>
        <v>0</v>
      </c>
      <c r="AM129" s="4">
        <f t="shared" si="71"/>
        <v>0</v>
      </c>
      <c r="AN129" s="4">
        <f t="shared" si="71"/>
        <v>0</v>
      </c>
      <c r="AO129" s="4">
        <f t="shared" si="71"/>
        <v>0</v>
      </c>
      <c r="AP129" s="4">
        <f t="shared" si="71"/>
        <v>0</v>
      </c>
    </row>
    <row r="130" spans="2:42" x14ac:dyDescent="0.25">
      <c r="B130" t="s">
        <v>68</v>
      </c>
      <c r="C130" s="9" t="str">
        <f>D12</f>
        <v>OPEC</v>
      </c>
      <c r="D130" s="4">
        <f t="shared" ref="D130:AP130" si="72">IFERROR((D74 * $C$98)/1000, 0)</f>
        <v>0</v>
      </c>
      <c r="E130" s="4">
        <f t="shared" si="72"/>
        <v>0</v>
      </c>
      <c r="F130" s="4">
        <f t="shared" si="72"/>
        <v>0</v>
      </c>
      <c r="G130" s="4">
        <f t="shared" si="72"/>
        <v>3.383710863524902</v>
      </c>
      <c r="H130" s="4">
        <f t="shared" si="72"/>
        <v>6.6225599058359856</v>
      </c>
      <c r="I130" s="4">
        <f t="shared" si="72"/>
        <v>14.613402370606185</v>
      </c>
      <c r="J130" s="4">
        <f t="shared" si="72"/>
        <v>14.751847904984928</v>
      </c>
      <c r="K130" s="4">
        <f t="shared" si="72"/>
        <v>14.235408321936498</v>
      </c>
      <c r="L130" s="4">
        <f t="shared" si="72"/>
        <v>13.731564826279536</v>
      </c>
      <c r="M130" s="4">
        <f t="shared" si="72"/>
        <v>13.240010196370287</v>
      </c>
      <c r="N130" s="4">
        <f t="shared" si="72"/>
        <v>12.694253478248164</v>
      </c>
      <c r="O130" s="4">
        <f t="shared" si="72"/>
        <v>11.746942666457493</v>
      </c>
      <c r="P130" s="4">
        <f t="shared" si="72"/>
        <v>14.431208950026285</v>
      </c>
      <c r="Q130" s="4">
        <f t="shared" si="72"/>
        <v>13.976803330363753</v>
      </c>
      <c r="R130" s="4">
        <f t="shared" si="72"/>
        <v>13.465395960283953</v>
      </c>
      <c r="S130" s="4">
        <f t="shared" si="72"/>
        <v>13.831097220715771</v>
      </c>
      <c r="T130" s="4">
        <f t="shared" si="72"/>
        <v>13.985355588592979</v>
      </c>
      <c r="U130" s="4">
        <f t="shared" si="72"/>
        <v>13.967882430808903</v>
      </c>
      <c r="V130" s="4">
        <f t="shared" si="72"/>
        <v>15.147169180570776</v>
      </c>
      <c r="W130" s="4">
        <f t="shared" si="72"/>
        <v>14.013600388321107</v>
      </c>
      <c r="X130" s="4">
        <f t="shared" si="72"/>
        <v>12.925515972023268</v>
      </c>
      <c r="Y130" s="4">
        <f t="shared" si="72"/>
        <v>12.740370917988303</v>
      </c>
      <c r="Z130" s="4">
        <f t="shared" si="72"/>
        <v>11.756147608843653</v>
      </c>
      <c r="AA130" s="4">
        <f t="shared" si="72"/>
        <v>10.850672638572833</v>
      </c>
      <c r="AB130" s="4">
        <f t="shared" si="72"/>
        <v>10.65934929566569</v>
      </c>
      <c r="AC130" s="4">
        <f t="shared" si="72"/>
        <v>9.8436458018367787</v>
      </c>
      <c r="AD130" s="4">
        <f t="shared" si="72"/>
        <v>9.0936124904964579</v>
      </c>
      <c r="AE130" s="4">
        <f t="shared" si="72"/>
        <v>8.4032414447225605</v>
      </c>
      <c r="AF130" s="4">
        <f t="shared" si="72"/>
        <v>7.7681621042079421</v>
      </c>
      <c r="AG130" s="4">
        <f t="shared" si="72"/>
        <v>7.1838660103416672</v>
      </c>
      <c r="AH130" s="4">
        <f t="shared" si="72"/>
        <v>0</v>
      </c>
      <c r="AI130" s="4">
        <f t="shared" si="72"/>
        <v>0</v>
      </c>
      <c r="AJ130" s="4">
        <f t="shared" si="72"/>
        <v>0</v>
      </c>
      <c r="AK130" s="4">
        <f t="shared" si="72"/>
        <v>0</v>
      </c>
      <c r="AL130" s="4">
        <f t="shared" si="72"/>
        <v>0</v>
      </c>
      <c r="AM130" s="4">
        <f t="shared" si="72"/>
        <v>0</v>
      </c>
      <c r="AN130" s="4">
        <f t="shared" si="72"/>
        <v>0</v>
      </c>
      <c r="AO130" s="4">
        <f t="shared" si="72"/>
        <v>0</v>
      </c>
      <c r="AP130" s="4">
        <f t="shared" si="72"/>
        <v>0</v>
      </c>
    </row>
    <row r="132" spans="2:42" x14ac:dyDescent="0.25">
      <c r="B132" t="s">
        <v>69</v>
      </c>
      <c r="C132" s="9" t="str">
        <f>D10</f>
        <v>NZE</v>
      </c>
      <c r="D132" s="4">
        <f>SUM(D128:AP128)</f>
        <v>9.4115033604334659</v>
      </c>
      <c r="I132" s="1"/>
    </row>
    <row r="133" spans="2:42" x14ac:dyDescent="0.25">
      <c r="B133" t="s">
        <v>69</v>
      </c>
      <c r="C133" s="9" t="str">
        <f>D11</f>
        <v>APS</v>
      </c>
      <c r="D133" s="4">
        <f t="shared" ref="D133:D134" si="73">SUM(D129:AP129)</f>
        <v>258.33450453910501</v>
      </c>
      <c r="I133" s="1"/>
    </row>
    <row r="134" spans="2:42" x14ac:dyDescent="0.25">
      <c r="B134" t="s">
        <v>69</v>
      </c>
      <c r="C134" s="9" t="str">
        <f>D12</f>
        <v>OPEC</v>
      </c>
      <c r="D134" s="4">
        <f t="shared" si="73"/>
        <v>319.06279786862666</v>
      </c>
      <c r="I134" s="1"/>
    </row>
    <row r="136" spans="2:42" x14ac:dyDescent="0.25">
      <c r="B136" t="s">
        <v>70</v>
      </c>
      <c r="C136" s="9" t="str">
        <f>D10</f>
        <v>NZE</v>
      </c>
      <c r="D136" s="3">
        <f>D132/$C$7</f>
        <v>0.34857419853457283</v>
      </c>
    </row>
    <row r="137" spans="2:42" x14ac:dyDescent="0.25">
      <c r="B137" t="s">
        <v>70</v>
      </c>
      <c r="C137" s="9" t="str">
        <f>D11</f>
        <v>APS</v>
      </c>
      <c r="D137" s="3">
        <f t="shared" ref="D137:D138" si="74">D133/$C$7</f>
        <v>9.5679446125594456</v>
      </c>
    </row>
    <row r="138" spans="2:42" x14ac:dyDescent="0.25">
      <c r="B138" t="s">
        <v>70</v>
      </c>
      <c r="C138" s="9" t="str">
        <f>D12</f>
        <v>OPEC</v>
      </c>
      <c r="D138" s="3">
        <f t="shared" si="74"/>
        <v>11.817140661800988</v>
      </c>
    </row>
    <row r="140" spans="2:42" x14ac:dyDescent="0.25">
      <c r="B140" s="13" t="s">
        <v>59</v>
      </c>
      <c r="C140" s="1"/>
      <c r="D140" s="1"/>
    </row>
    <row r="141" spans="2:42" x14ac:dyDescent="0.25">
      <c r="B141" t="s">
        <v>56</v>
      </c>
      <c r="C141" s="9" t="str">
        <f>D10</f>
        <v>NZE</v>
      </c>
      <c r="D141" s="4">
        <f t="shared" ref="D141:AP141" si="75">IFERROR((D85 * $C$98)/1000, 0)</f>
        <v>0</v>
      </c>
      <c r="E141" s="4">
        <f t="shared" si="75"/>
        <v>0</v>
      </c>
      <c r="F141" s="4">
        <f t="shared" si="75"/>
        <v>0</v>
      </c>
      <c r="G141" s="4">
        <f t="shared" si="75"/>
        <v>0.37864330743579494</v>
      </c>
      <c r="H141" s="4">
        <f t="shared" si="75"/>
        <v>0.70283090237641543</v>
      </c>
      <c r="I141" s="4">
        <f t="shared" si="75"/>
        <v>1.2416657766833825</v>
      </c>
      <c r="J141" s="4">
        <f t="shared" si="75"/>
        <v>1.2417423014698361</v>
      </c>
      <c r="K141" s="4">
        <f t="shared" si="75"/>
        <v>0.87899647324971675</v>
      </c>
      <c r="L141" s="4">
        <f t="shared" si="75"/>
        <v>0.51504316684563056</v>
      </c>
      <c r="M141" s="4">
        <f t="shared" si="75"/>
        <v>0.51447486969386647</v>
      </c>
      <c r="N141" s="4">
        <f t="shared" si="75"/>
        <v>0.51291003315001216</v>
      </c>
      <c r="O141" s="4">
        <f t="shared" si="75"/>
        <v>0.49256934668072433</v>
      </c>
      <c r="P141" s="4">
        <f t="shared" si="75"/>
        <v>0.46222695013315829</v>
      </c>
      <c r="Q141" s="4">
        <f t="shared" si="75"/>
        <v>0.42580480110404151</v>
      </c>
      <c r="R141" s="4">
        <f t="shared" si="75"/>
        <v>0.39316471650338997</v>
      </c>
      <c r="S141" s="4">
        <f t="shared" si="75"/>
        <v>0.36202000281556668</v>
      </c>
      <c r="T141" s="4">
        <f t="shared" si="75"/>
        <v>0.33397846023128008</v>
      </c>
      <c r="U141" s="4">
        <f t="shared" si="75"/>
        <v>0.30720811107359386</v>
      </c>
      <c r="V141" s="4">
        <f t="shared" si="75"/>
        <v>8.3533939361047943E-2</v>
      </c>
      <c r="W141" s="4">
        <f t="shared" si="75"/>
        <v>0</v>
      </c>
      <c r="X141" s="4">
        <f t="shared" si="75"/>
        <v>0</v>
      </c>
      <c r="Y141" s="4">
        <f t="shared" si="75"/>
        <v>0</v>
      </c>
      <c r="Z141" s="4">
        <f t="shared" si="75"/>
        <v>0</v>
      </c>
      <c r="AA141" s="4">
        <f t="shared" si="75"/>
        <v>0</v>
      </c>
      <c r="AB141" s="4">
        <f t="shared" si="75"/>
        <v>0</v>
      </c>
      <c r="AC141" s="4">
        <f t="shared" si="75"/>
        <v>0</v>
      </c>
      <c r="AD141" s="4">
        <f t="shared" si="75"/>
        <v>0</v>
      </c>
      <c r="AE141" s="4">
        <f t="shared" si="75"/>
        <v>0</v>
      </c>
      <c r="AF141" s="4">
        <f t="shared" si="75"/>
        <v>0</v>
      </c>
      <c r="AG141" s="4">
        <f t="shared" si="75"/>
        <v>0</v>
      </c>
      <c r="AH141" s="4">
        <f t="shared" si="75"/>
        <v>0</v>
      </c>
      <c r="AI141" s="4">
        <f t="shared" si="75"/>
        <v>0</v>
      </c>
      <c r="AJ141" s="4">
        <f t="shared" si="75"/>
        <v>0</v>
      </c>
      <c r="AK141" s="4">
        <f t="shared" si="75"/>
        <v>0</v>
      </c>
      <c r="AL141" s="4">
        <f t="shared" si="75"/>
        <v>0</v>
      </c>
      <c r="AM141" s="4">
        <f t="shared" si="75"/>
        <v>0</v>
      </c>
      <c r="AN141" s="4">
        <f t="shared" si="75"/>
        <v>0</v>
      </c>
      <c r="AO141" s="4">
        <f t="shared" si="75"/>
        <v>0</v>
      </c>
      <c r="AP141" s="4">
        <f t="shared" si="75"/>
        <v>0</v>
      </c>
    </row>
    <row r="142" spans="2:42" x14ac:dyDescent="0.25">
      <c r="B142" t="s">
        <v>56</v>
      </c>
      <c r="C142" s="9" t="str">
        <f>D11</f>
        <v>APS</v>
      </c>
      <c r="D142" s="4">
        <f t="shared" ref="D142:AP142" si="76">IFERROR((D86 * $C$98)/1000, 0)</f>
        <v>0</v>
      </c>
      <c r="E142" s="4">
        <f t="shared" si="76"/>
        <v>0</v>
      </c>
      <c r="F142" s="4">
        <f t="shared" si="76"/>
        <v>0</v>
      </c>
      <c r="G142" s="4">
        <f t="shared" si="76"/>
        <v>2.1770904693707238</v>
      </c>
      <c r="H142" s="4">
        <f t="shared" si="76"/>
        <v>4.7705141135257083</v>
      </c>
      <c r="I142" s="4">
        <f t="shared" si="76"/>
        <v>8.7147715037044566</v>
      </c>
      <c r="J142" s="4">
        <f t="shared" si="76"/>
        <v>9.2736028312967829</v>
      </c>
      <c r="K142" s="4">
        <f t="shared" si="76"/>
        <v>10.393879465294102</v>
      </c>
      <c r="L142" s="4">
        <f t="shared" si="76"/>
        <v>10.576038267570095</v>
      </c>
      <c r="M142" s="4">
        <f t="shared" si="76"/>
        <v>11.023882347312046</v>
      </c>
      <c r="N142" s="4">
        <f t="shared" si="76"/>
        <v>13.312454295170411</v>
      </c>
      <c r="O142" s="4">
        <f t="shared" si="76"/>
        <v>13.628435624245377</v>
      </c>
      <c r="P142" s="4">
        <f t="shared" si="76"/>
        <v>13.565336413024708</v>
      </c>
      <c r="Q142" s="4">
        <f t="shared" si="76"/>
        <v>12.924792572298452</v>
      </c>
      <c r="R142" s="4">
        <f t="shared" si="76"/>
        <v>12.273792946367232</v>
      </c>
      <c r="S142" s="4">
        <f t="shared" si="76"/>
        <v>11.62140483002459</v>
      </c>
      <c r="T142" s="4">
        <f t="shared" si="76"/>
        <v>10.974928360802085</v>
      </c>
      <c r="U142" s="4">
        <f t="shared" si="76"/>
        <v>10.340164900750604</v>
      </c>
      <c r="V142" s="4">
        <f t="shared" si="76"/>
        <v>9.8471124785644069</v>
      </c>
      <c r="W142" s="4">
        <f t="shared" si="76"/>
        <v>9.3485966130956122</v>
      </c>
      <c r="X142" s="4">
        <f t="shared" si="76"/>
        <v>8.8510395075827599</v>
      </c>
      <c r="Y142" s="4">
        <f t="shared" si="76"/>
        <v>8.3595913978795267</v>
      </c>
      <c r="Z142" s="4">
        <f t="shared" si="76"/>
        <v>7.8783247793040223</v>
      </c>
      <c r="AA142" s="4">
        <f t="shared" si="76"/>
        <v>7.4104021115300727</v>
      </c>
      <c r="AB142" s="4">
        <f t="shared" si="76"/>
        <v>6.9582204030651429</v>
      </c>
      <c r="AC142" s="4">
        <f t="shared" si="76"/>
        <v>6.5235356578035271</v>
      </c>
      <c r="AD142" s="4">
        <f t="shared" si="76"/>
        <v>6.1075697972860086</v>
      </c>
      <c r="AE142" s="4">
        <f t="shared" si="76"/>
        <v>5.7111023477461407</v>
      </c>
      <c r="AF142" s="4">
        <f t="shared" si="76"/>
        <v>5.3345488955715039</v>
      </c>
      <c r="AG142" s="4">
        <f t="shared" si="76"/>
        <v>4.9333013365726179</v>
      </c>
      <c r="AH142" s="4">
        <f t="shared" si="76"/>
        <v>0</v>
      </c>
      <c r="AI142" s="4">
        <f t="shared" si="76"/>
        <v>0</v>
      </c>
      <c r="AJ142" s="4">
        <f t="shared" si="76"/>
        <v>0</v>
      </c>
      <c r="AK142" s="4">
        <f t="shared" si="76"/>
        <v>0</v>
      </c>
      <c r="AL142" s="4">
        <f t="shared" si="76"/>
        <v>0</v>
      </c>
      <c r="AM142" s="4">
        <f t="shared" si="76"/>
        <v>0</v>
      </c>
      <c r="AN142" s="4">
        <f t="shared" si="76"/>
        <v>0</v>
      </c>
      <c r="AO142" s="4">
        <f t="shared" si="76"/>
        <v>0</v>
      </c>
      <c r="AP142" s="4">
        <f t="shared" si="76"/>
        <v>0</v>
      </c>
    </row>
    <row r="143" spans="2:42" x14ac:dyDescent="0.25">
      <c r="B143" t="s">
        <v>56</v>
      </c>
      <c r="C143" s="9" t="str">
        <f>D12</f>
        <v>OPEC</v>
      </c>
      <c r="D143" s="4">
        <f t="shared" ref="D143:AP143" si="77">IFERROR((D87 * $C$98)/1000, 0)</f>
        <v>0</v>
      </c>
      <c r="E143" s="4">
        <f t="shared" si="77"/>
        <v>0</v>
      </c>
      <c r="F143" s="4">
        <f t="shared" si="77"/>
        <v>0</v>
      </c>
      <c r="G143" s="4">
        <f t="shared" si="77"/>
        <v>3.1806882117134081</v>
      </c>
      <c r="H143" s="4">
        <f t="shared" si="77"/>
        <v>6.2252063114858256</v>
      </c>
      <c r="I143" s="4">
        <f t="shared" si="77"/>
        <v>13.736598228369814</v>
      </c>
      <c r="J143" s="4">
        <f t="shared" si="77"/>
        <v>13.866737030685831</v>
      </c>
      <c r="K143" s="4">
        <f t="shared" si="77"/>
        <v>13.381283822620309</v>
      </c>
      <c r="L143" s="4">
        <f t="shared" si="77"/>
        <v>12.907670936702765</v>
      </c>
      <c r="M143" s="4">
        <f t="shared" si="77"/>
        <v>12.44560958458807</v>
      </c>
      <c r="N143" s="4">
        <f t="shared" si="77"/>
        <v>11.932598269553274</v>
      </c>
      <c r="O143" s="4">
        <f t="shared" si="77"/>
        <v>11.042126106470043</v>
      </c>
      <c r="P143" s="4">
        <f t="shared" si="77"/>
        <v>13.565336413024708</v>
      </c>
      <c r="Q143" s="4">
        <f t="shared" si="77"/>
        <v>13.138195130541927</v>
      </c>
      <c r="R143" s="4">
        <f t="shared" si="77"/>
        <v>12.657472202666916</v>
      </c>
      <c r="S143" s="4">
        <f t="shared" si="77"/>
        <v>13.001231387472824</v>
      </c>
      <c r="T143" s="4">
        <f t="shared" si="77"/>
        <v>13.146234253277399</v>
      </c>
      <c r="U143" s="4">
        <f t="shared" si="77"/>
        <v>13.129809484960367</v>
      </c>
      <c r="V143" s="4">
        <f t="shared" si="77"/>
        <v>14.23833902973653</v>
      </c>
      <c r="W143" s="4">
        <f t="shared" si="77"/>
        <v>13.172784365021842</v>
      </c>
      <c r="X143" s="4">
        <f t="shared" si="77"/>
        <v>12.149985013701871</v>
      </c>
      <c r="Y143" s="4">
        <f t="shared" si="77"/>
        <v>11.975948662909005</v>
      </c>
      <c r="Z143" s="4">
        <f t="shared" si="77"/>
        <v>11.050778752313036</v>
      </c>
      <c r="AA143" s="4">
        <f t="shared" si="77"/>
        <v>10.199632280258461</v>
      </c>
      <c r="AB143" s="4">
        <f t="shared" si="77"/>
        <v>10.01978833792575</v>
      </c>
      <c r="AC143" s="4">
        <f t="shared" si="77"/>
        <v>9.2530270537265711</v>
      </c>
      <c r="AD143" s="4">
        <f t="shared" si="77"/>
        <v>8.5479957410666714</v>
      </c>
      <c r="AE143" s="4">
        <f t="shared" si="77"/>
        <v>7.8990469580392064</v>
      </c>
      <c r="AF143" s="4">
        <f t="shared" si="77"/>
        <v>7.3020723779554659</v>
      </c>
      <c r="AG143" s="4">
        <f t="shared" si="77"/>
        <v>6.7528340497211676</v>
      </c>
      <c r="AH143" s="4">
        <f t="shared" si="77"/>
        <v>0</v>
      </c>
      <c r="AI143" s="4">
        <f t="shared" si="77"/>
        <v>0</v>
      </c>
      <c r="AJ143" s="4">
        <f t="shared" si="77"/>
        <v>0</v>
      </c>
      <c r="AK143" s="4">
        <f t="shared" si="77"/>
        <v>0</v>
      </c>
      <c r="AL143" s="4">
        <f t="shared" si="77"/>
        <v>0</v>
      </c>
      <c r="AM143" s="4">
        <f t="shared" si="77"/>
        <v>0</v>
      </c>
      <c r="AN143" s="4">
        <f t="shared" si="77"/>
        <v>0</v>
      </c>
      <c r="AO143" s="4">
        <f t="shared" si="77"/>
        <v>0</v>
      </c>
      <c r="AP143" s="4">
        <f t="shared" si="77"/>
        <v>0</v>
      </c>
    </row>
    <row r="145" spans="2:9" x14ac:dyDescent="0.25">
      <c r="B145" t="s">
        <v>57</v>
      </c>
      <c r="C145" s="9" t="str">
        <f>D10</f>
        <v>NZE</v>
      </c>
      <c r="D145" s="4">
        <f>SUM(D141:AP141)</f>
        <v>8.8468131588074588</v>
      </c>
      <c r="I145" s="1"/>
    </row>
    <row r="146" spans="2:9" x14ac:dyDescent="0.25">
      <c r="B146" t="s">
        <v>57</v>
      </c>
      <c r="C146" s="9" t="str">
        <f>D11</f>
        <v>APS</v>
      </c>
      <c r="D146" s="4">
        <f t="shared" ref="D146:D147" si="78">SUM(D142:AP142)</f>
        <v>242.83443426675876</v>
      </c>
      <c r="I146" s="1"/>
    </row>
    <row r="147" spans="2:9" x14ac:dyDescent="0.25">
      <c r="B147" t="s">
        <v>57</v>
      </c>
      <c r="C147" s="9" t="str">
        <f>D12</f>
        <v>OPEC</v>
      </c>
      <c r="D147" s="4">
        <f t="shared" si="78"/>
        <v>299.91902999650904</v>
      </c>
      <c r="I147" s="1"/>
    </row>
    <row r="149" spans="2:9" x14ac:dyDescent="0.25">
      <c r="B149" t="s">
        <v>58</v>
      </c>
      <c r="C149" s="9" t="str">
        <f>D10</f>
        <v>NZE</v>
      </c>
      <c r="D149" s="3">
        <f>D145/$C$7</f>
        <v>0.32765974662249847</v>
      </c>
    </row>
    <row r="150" spans="2:9" x14ac:dyDescent="0.25">
      <c r="B150" t="s">
        <v>58</v>
      </c>
      <c r="C150" s="9" t="str">
        <f>D11</f>
        <v>APS</v>
      </c>
      <c r="D150" s="3">
        <f t="shared" ref="D150:D151" si="79">D146/$C$7</f>
        <v>8.9938679358058806</v>
      </c>
    </row>
    <row r="151" spans="2:9" x14ac:dyDescent="0.25">
      <c r="B151" t="s">
        <v>58</v>
      </c>
      <c r="C151" s="9" t="str">
        <f>D12</f>
        <v>OPEC</v>
      </c>
      <c r="D151" s="3">
        <f t="shared" si="79"/>
        <v>11.108112222092927</v>
      </c>
    </row>
    <row r="153" spans="2:9" x14ac:dyDescent="0.25">
      <c r="C153" s="12"/>
    </row>
    <row r="154" spans="2:9" x14ac:dyDescent="0.25">
      <c r="C154" s="12"/>
    </row>
    <row r="156" spans="2:9" x14ac:dyDescent="0.25">
      <c r="D156" s="1"/>
    </row>
    <row r="157" spans="2:9" x14ac:dyDescent="0.25">
      <c r="D157" s="1"/>
    </row>
    <row r="158" spans="2:9" x14ac:dyDescent="0.25">
      <c r="D158" s="1"/>
    </row>
    <row r="160" spans="2:9" x14ac:dyDescent="0.25">
      <c r="D160" s="1"/>
    </row>
    <row r="163" spans="2:2" x14ac:dyDescent="0.25">
      <c r="B163" s="14"/>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D2E7-54BD-44C8-BC3D-D6EECF65FBF8}">
  <sheetPr>
    <tabColor rgb="FF53CAEC"/>
  </sheetPr>
  <dimension ref="A1:AT67"/>
  <sheetViews>
    <sheetView zoomScale="90" zoomScaleNormal="90" zoomScaleSheetLayoutView="100" workbookViewId="0">
      <selection activeCell="G4" sqref="G4"/>
    </sheetView>
  </sheetViews>
  <sheetFormatPr defaultColWidth="8.85546875" defaultRowHeight="18" customHeight="1" x14ac:dyDescent="0.25"/>
  <cols>
    <col min="1" max="1" width="5.140625" customWidth="1"/>
    <col min="2" max="2" width="30.28515625" customWidth="1"/>
    <col min="3" max="3" width="18.42578125" style="11" bestFit="1" customWidth="1"/>
    <col min="4" max="4" width="16.5703125" style="11" bestFit="1" customWidth="1"/>
    <col min="5" max="5" width="16.5703125" style="11" customWidth="1"/>
    <col min="6" max="6" width="13.28515625" style="11" customWidth="1"/>
    <col min="7" max="7" width="13.28515625" style="11" bestFit="1" customWidth="1"/>
    <col min="8" max="8" width="11.85546875" style="11" bestFit="1" customWidth="1"/>
    <col min="9" max="9" width="16.140625" style="11" bestFit="1" customWidth="1"/>
    <col min="10" max="11" width="16.140625" style="11" customWidth="1"/>
    <col min="12" max="12" width="12" style="11" customWidth="1"/>
    <col min="13" max="14" width="13.28515625" style="11" bestFit="1" customWidth="1"/>
    <col min="15" max="16" width="12" style="11" customWidth="1"/>
    <col min="17" max="18" width="12" customWidth="1"/>
  </cols>
  <sheetData>
    <row r="1" spans="1:46" s="65" customFormat="1" ht="18.75" x14ac:dyDescent="0.3">
      <c r="A1" s="63"/>
      <c r="B1" s="64" t="s">
        <v>71</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6" s="52" customFormat="1" ht="15" x14ac:dyDescent="0.25">
      <c r="A2" s="50"/>
      <c r="B2" s="51"/>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row>
    <row r="3" spans="1:46" ht="13.9" customHeight="1" x14ac:dyDescent="0.25">
      <c r="B3" s="53">
        <v>1</v>
      </c>
      <c r="D3" s="70" t="s">
        <v>72</v>
      </c>
      <c r="E3" s="70"/>
      <c r="G3" s="17"/>
      <c r="I3" s="18"/>
      <c r="J3" s="18"/>
      <c r="K3" s="30"/>
      <c r="L3" s="18"/>
      <c r="M3" s="18"/>
      <c r="N3" s="17"/>
      <c r="O3"/>
      <c r="P3"/>
    </row>
    <row r="4" spans="1:46" ht="13.9" customHeight="1" x14ac:dyDescent="0.25">
      <c r="C4"/>
      <c r="D4" s="11">
        <v>1</v>
      </c>
      <c r="E4" s="11" t="str">
        <f>'Revenue projections'!D10</f>
        <v>NZE</v>
      </c>
      <c r="I4" s="18"/>
      <c r="J4" s="18"/>
      <c r="K4" s="30"/>
      <c r="L4" s="18"/>
      <c r="M4" s="18"/>
      <c r="O4"/>
      <c r="P4"/>
    </row>
    <row r="5" spans="1:46" ht="13.9" customHeight="1" x14ac:dyDescent="0.25">
      <c r="C5"/>
      <c r="D5" s="11">
        <v>2</v>
      </c>
      <c r="E5" s="11" t="str">
        <f>'Revenue projections'!D11</f>
        <v>APS</v>
      </c>
      <c r="I5" s="18"/>
      <c r="J5" s="18"/>
      <c r="K5" s="30"/>
      <c r="L5" s="18"/>
      <c r="M5" s="18"/>
      <c r="O5"/>
      <c r="P5"/>
    </row>
    <row r="6" spans="1:46" ht="13.9" customHeight="1" x14ac:dyDescent="0.25">
      <c r="C6"/>
      <c r="D6" s="11">
        <v>3</v>
      </c>
      <c r="E6" s="11" t="str">
        <f>'Revenue projections'!D12</f>
        <v>OPEC</v>
      </c>
      <c r="I6" s="18"/>
      <c r="J6" s="18"/>
      <c r="K6" s="30"/>
      <c r="L6" s="18"/>
      <c r="M6" s="18"/>
      <c r="O6"/>
      <c r="P6"/>
    </row>
    <row r="7" spans="1:46" ht="13.9" customHeight="1" x14ac:dyDescent="0.25">
      <c r="C7"/>
      <c r="D7"/>
      <c r="E7"/>
      <c r="F7"/>
      <c r="G7"/>
      <c r="I7" s="18"/>
      <c r="J7" s="18"/>
      <c r="K7" s="30"/>
      <c r="L7" s="18"/>
      <c r="M7" s="18"/>
      <c r="N7"/>
      <c r="O7"/>
      <c r="P7"/>
    </row>
    <row r="8" spans="1:46" s="65" customFormat="1" ht="18.75" x14ac:dyDescent="0.3">
      <c r="A8" s="63"/>
      <c r="B8" s="64" t="s">
        <v>44</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46" ht="13.9" customHeight="1" x14ac:dyDescent="0.25">
      <c r="C9"/>
      <c r="D9"/>
      <c r="E9"/>
      <c r="F9"/>
      <c r="G9"/>
      <c r="I9" s="18"/>
      <c r="J9" s="18"/>
      <c r="K9" s="30"/>
      <c r="L9" s="18"/>
      <c r="M9" s="18"/>
      <c r="N9"/>
      <c r="O9"/>
      <c r="P9"/>
    </row>
    <row r="10" spans="1:46" ht="60" x14ac:dyDescent="0.25">
      <c r="B10" s="19"/>
      <c r="C10" s="20" t="s">
        <v>73</v>
      </c>
      <c r="D10" s="20" t="s">
        <v>74</v>
      </c>
      <c r="E10" s="20" t="s">
        <v>75</v>
      </c>
      <c r="F10" s="20" t="s">
        <v>76</v>
      </c>
      <c r="G10" s="20" t="s">
        <v>77</v>
      </c>
      <c r="H10" s="20" t="s">
        <v>78</v>
      </c>
      <c r="I10" s="20" t="s">
        <v>79</v>
      </c>
      <c r="J10" s="20" t="s">
        <v>137</v>
      </c>
      <c r="K10" s="20" t="s">
        <v>106</v>
      </c>
      <c r="L10" s="20" t="s">
        <v>80</v>
      </c>
      <c r="M10" s="20" t="s">
        <v>81</v>
      </c>
      <c r="N10" s="20" t="s">
        <v>82</v>
      </c>
      <c r="O10" s="20" t="s">
        <v>83</v>
      </c>
      <c r="P10" s="20" t="s">
        <v>84</v>
      </c>
      <c r="Q10" s="20" t="s">
        <v>85</v>
      </c>
      <c r="R10" s="20" t="s">
        <v>86</v>
      </c>
    </row>
    <row r="11" spans="1:46" ht="15" x14ac:dyDescent="0.25">
      <c r="B11" s="13" t="s">
        <v>105</v>
      </c>
      <c r="C11" s="20"/>
      <c r="D11" s="54">
        <v>1</v>
      </c>
      <c r="E11" s="54"/>
      <c r="F11" s="20"/>
      <c r="G11" s="20"/>
      <c r="H11" s="20"/>
      <c r="I11" s="54">
        <v>0.5</v>
      </c>
      <c r="J11" s="20"/>
      <c r="K11" s="54">
        <v>0.5</v>
      </c>
      <c r="L11" s="54">
        <v>0</v>
      </c>
      <c r="M11" s="20"/>
      <c r="N11" s="20"/>
      <c r="O11" s="20"/>
      <c r="P11" s="20"/>
      <c r="Q11" s="20"/>
      <c r="R11" s="20"/>
    </row>
    <row r="12" spans="1:46" ht="18" customHeight="1" x14ac:dyDescent="0.25">
      <c r="B12" s="13" t="s">
        <v>87</v>
      </c>
      <c r="F12" s="21" cm="1">
        <f t="array" ref="F12">INDEX('Revenue projections'!D58:D60, 'SN distribution'!B3)</f>
        <v>7.8429194670278877</v>
      </c>
      <c r="G12" s="21" cm="1">
        <f t="array" ref="G12">INDEX('Revenue projections'!D118:D120, 'SN distribution'!B3)</f>
        <v>28.234510081300392</v>
      </c>
      <c r="H12" s="22"/>
      <c r="I12" s="23"/>
      <c r="J12" s="23"/>
      <c r="K12" s="23"/>
      <c r="L12" s="23"/>
      <c r="M12" s="21" cm="1">
        <f t="array" ref="M12">INDEX('Revenue projections'!D62:D64, 'SN distribution'!B3)</f>
        <v>7.8429194670278877</v>
      </c>
      <c r="N12" s="21" cm="1">
        <f t="array" ref="N12">INDEX('Revenue projections'!D122:D124, 'SN distribution'!B3)</f>
        <v>28.234510081300392</v>
      </c>
    </row>
    <row r="13" spans="1:46" ht="18" customHeight="1" x14ac:dyDescent="0.25">
      <c r="B13" s="41" t="s">
        <v>9</v>
      </c>
      <c r="C13" s="53"/>
      <c r="D13" s="53"/>
      <c r="E13" s="53"/>
      <c r="F13" s="24">
        <f>IFERROR(($F$12 * (D13 * $D$11)) + ($F$12 * (E13 * $E$11)), 0)</f>
        <v>0</v>
      </c>
      <c r="G13" s="24">
        <f>IFERROR(($G$12 * (D13 * $D$11)) + ($G$12 * (E13 * $E$11)), 0)</f>
        <v>0</v>
      </c>
      <c r="H13" s="56">
        <v>238800</v>
      </c>
      <c r="I13" s="25">
        <f t="shared" ref="I13:I46" si="0">H13/$H$47</f>
        <v>2.4223243358388363E-2</v>
      </c>
      <c r="J13" s="56">
        <v>2969</v>
      </c>
      <c r="K13" s="25">
        <f t="shared" ref="K13:K46" si="1">J13/$J$47</f>
        <v>4.6617155238738245E-2</v>
      </c>
      <c r="L13" s="57"/>
      <c r="M13" s="24">
        <f>IFERROR(($M$12 * (I13 * $I$11)) + ($M$12 * (K13 * $K$11)) + ($M$12 * (L13 * $L$11)), 0)</f>
        <v>0.27779777060470967</v>
      </c>
      <c r="N13" s="24">
        <f>IFERROR(($N$12 * (I13 * $I$11)) + ($N$12 * (K13 * $K$11)) + ($N$12 * (L13 * $L$11)), 0)</f>
        <v>1.0000719741769548</v>
      </c>
      <c r="O13" s="24">
        <f t="shared" ref="O13:O46" si="2">F13 + M13</f>
        <v>0.27779777060470967</v>
      </c>
      <c r="P13" s="24">
        <f t="shared" ref="P13:P46" si="3">G13 + N13</f>
        <v>1.0000719741769548</v>
      </c>
      <c r="Q13" s="29">
        <f>O13/'Revenue projections'!$C$7</f>
        <v>1.0288806318692952E-2</v>
      </c>
      <c r="R13" s="29">
        <f>P13/'Revenue projections'!$C$7</f>
        <v>3.7039702747294623E-2</v>
      </c>
    </row>
    <row r="14" spans="1:46" ht="18" customHeight="1" x14ac:dyDescent="0.25">
      <c r="B14" s="41" t="s">
        <v>0</v>
      </c>
      <c r="C14" s="53"/>
      <c r="D14" s="53"/>
      <c r="E14" s="53"/>
      <c r="F14" s="24">
        <f t="shared" ref="F14:F46" si="4">IFERROR(($F$12 * (D14 * $D$11)) + ($F$12 * (E14 * $E$11)), 0)</f>
        <v>0</v>
      </c>
      <c r="G14" s="24">
        <f t="shared" ref="G14:G46" si="5">IFERROR(($G$12 * (D14 * $D$11)) + ($G$12 * (E14 * $E$11)), 0)</f>
        <v>0</v>
      </c>
      <c r="H14" s="56">
        <v>227300</v>
      </c>
      <c r="I14" s="25">
        <f t="shared" si="0"/>
        <v>2.3056713632167818E-2</v>
      </c>
      <c r="J14" s="56">
        <v>3588</v>
      </c>
      <c r="K14" s="25">
        <f t="shared" si="1"/>
        <v>5.6336259008620014E-2</v>
      </c>
      <c r="L14" s="57"/>
      <c r="M14" s="24">
        <f t="shared" ref="M14:M46" si="6">IFERROR(($M$12 * (I14 * $I$11)) + ($M$12 * (K14 * $K$11)) + ($M$12 * (L14 * $L$11)), 0)</f>
        <v>0.31133634533482368</v>
      </c>
      <c r="N14" s="24">
        <f t="shared" ref="N14:N46" si="7">IFERROR(($N$12 * (I14 * $I$11)) + ($N$12 * (K14 * $K$11)) + ($N$12 * (L14 * $L$11)), 0)</f>
        <v>1.1208108432053652</v>
      </c>
      <c r="O14" s="24">
        <f t="shared" si="2"/>
        <v>0.31133634533482368</v>
      </c>
      <c r="P14" s="24">
        <f t="shared" si="3"/>
        <v>1.1208108432053652</v>
      </c>
      <c r="Q14" s="29">
        <f>O14/'Revenue projections'!$C$7</f>
        <v>1.1530975753141617E-2</v>
      </c>
      <c r="R14" s="29">
        <f>P14/'Revenue projections'!$C$7</f>
        <v>4.1511512711309824E-2</v>
      </c>
    </row>
    <row r="15" spans="1:46" ht="18" customHeight="1" x14ac:dyDescent="0.25">
      <c r="B15" s="41" t="s">
        <v>14</v>
      </c>
      <c r="C15" s="53"/>
      <c r="D15" s="53"/>
      <c r="E15" s="53"/>
      <c r="F15" s="24">
        <f t="shared" si="4"/>
        <v>0</v>
      </c>
      <c r="G15" s="24">
        <f t="shared" si="5"/>
        <v>0</v>
      </c>
      <c r="H15" s="56">
        <v>164400</v>
      </c>
      <c r="I15" s="25">
        <f t="shared" si="0"/>
        <v>1.6676303216578925E-2</v>
      </c>
      <c r="J15" s="56">
        <v>3236</v>
      </c>
      <c r="K15" s="25">
        <f t="shared" si="1"/>
        <v>5.0809401937540237E-2</v>
      </c>
      <c r="L15" s="57"/>
      <c r="M15" s="24">
        <f t="shared" si="6"/>
        <v>0.26464247534967272</v>
      </c>
      <c r="N15" s="24">
        <f t="shared" si="7"/>
        <v>0.95271291125882174</v>
      </c>
      <c r="O15" s="24">
        <f t="shared" si="2"/>
        <v>0.26464247534967272</v>
      </c>
      <c r="P15" s="24">
        <f t="shared" si="3"/>
        <v>0.95271291125882174</v>
      </c>
      <c r="Q15" s="29">
        <f>O15/'Revenue projections'!$C$7</f>
        <v>9.8015731610989892E-3</v>
      </c>
      <c r="R15" s="29">
        <f>P15/'Revenue projections'!$C$7</f>
        <v>3.528566337995636E-2</v>
      </c>
    </row>
    <row r="16" spans="1:46" ht="18" customHeight="1" x14ac:dyDescent="0.25">
      <c r="B16" s="41" t="s">
        <v>2</v>
      </c>
      <c r="C16" s="53"/>
      <c r="D16" s="53"/>
      <c r="E16" s="53"/>
      <c r="F16" s="24">
        <f t="shared" si="4"/>
        <v>0</v>
      </c>
      <c r="G16" s="24">
        <f t="shared" si="5"/>
        <v>0</v>
      </c>
      <c r="H16" s="56">
        <v>152600</v>
      </c>
      <c r="I16" s="25">
        <f t="shared" si="0"/>
        <v>1.5479342280109146E-2</v>
      </c>
      <c r="J16" s="56">
        <v>748</v>
      </c>
      <c r="K16" s="25">
        <f t="shared" si="1"/>
        <v>1.1744571276044528E-2</v>
      </c>
      <c r="L16" s="57"/>
      <c r="M16" s="24">
        <f t="shared" si="6"/>
        <v>0.10675748079912104</v>
      </c>
      <c r="N16" s="24">
        <f t="shared" si="7"/>
        <v>0.38432693087683567</v>
      </c>
      <c r="O16" s="24">
        <f t="shared" si="2"/>
        <v>0.10675748079912104</v>
      </c>
      <c r="P16" s="24">
        <f t="shared" si="3"/>
        <v>0.38432693087683567</v>
      </c>
      <c r="Q16" s="29">
        <f>O16/'Revenue projections'!$C$7</f>
        <v>3.9539807703378163E-3</v>
      </c>
      <c r="R16" s="29">
        <f>P16/'Revenue projections'!$C$7</f>
        <v>1.4234330773216135E-2</v>
      </c>
    </row>
    <row r="17" spans="2:18" ht="18" customHeight="1" x14ac:dyDescent="0.25">
      <c r="B17" s="41" t="s">
        <v>4</v>
      </c>
      <c r="C17" s="53">
        <v>1</v>
      </c>
      <c r="D17" s="55">
        <v>0.41499999999999998</v>
      </c>
      <c r="E17" s="53"/>
      <c r="F17" s="24">
        <f t="shared" si="4"/>
        <v>3.254811578816573</v>
      </c>
      <c r="G17" s="24">
        <f t="shared" si="5"/>
        <v>11.717321683739662</v>
      </c>
      <c r="H17" s="56">
        <v>163700</v>
      </c>
      <c r="I17" s="25">
        <f t="shared" si="0"/>
        <v>1.6605297059330715E-2</v>
      </c>
      <c r="J17" s="56">
        <v>1108</v>
      </c>
      <c r="K17" s="25">
        <f t="shared" si="1"/>
        <v>1.7397038735103391E-2</v>
      </c>
      <c r="L17" s="57"/>
      <c r="M17" s="24">
        <f t="shared" si="6"/>
        <v>0.13333879066329321</v>
      </c>
      <c r="N17" s="24">
        <f t="shared" si="7"/>
        <v>0.48001964638785549</v>
      </c>
      <c r="O17" s="24">
        <f t="shared" si="2"/>
        <v>3.3881503694798663</v>
      </c>
      <c r="P17" s="24">
        <f t="shared" si="3"/>
        <v>12.197341330127518</v>
      </c>
      <c r="Q17" s="29">
        <f>O17/'Revenue projections'!$C$7</f>
        <v>0.12548705072147653</v>
      </c>
      <c r="R17" s="29">
        <f>P17/'Revenue projections'!$C$7</f>
        <v>0.45175338259731546</v>
      </c>
    </row>
    <row r="18" spans="2:18" ht="18" customHeight="1" x14ac:dyDescent="0.25">
      <c r="B18" s="41" t="s">
        <v>1</v>
      </c>
      <c r="C18" s="53"/>
      <c r="D18" s="53"/>
      <c r="E18" s="53"/>
      <c r="F18" s="24">
        <f t="shared" si="4"/>
        <v>0</v>
      </c>
      <c r="G18" s="24">
        <f t="shared" si="5"/>
        <v>0</v>
      </c>
      <c r="H18" s="56">
        <v>277900</v>
      </c>
      <c r="I18" s="25">
        <f t="shared" si="0"/>
        <v>2.8189444427538218E-2</v>
      </c>
      <c r="J18" s="56">
        <v>848</v>
      </c>
      <c r="K18" s="25">
        <f t="shared" si="1"/>
        <v>1.3314701125783103E-2</v>
      </c>
      <c r="L18" s="57"/>
      <c r="M18" s="24">
        <f t="shared" si="6"/>
        <v>0.16275683556125137</v>
      </c>
      <c r="N18" s="24">
        <f t="shared" si="7"/>
        <v>0.58592460802050483</v>
      </c>
      <c r="O18" s="24">
        <f t="shared" si="2"/>
        <v>0.16275683556125137</v>
      </c>
      <c r="P18" s="24">
        <f t="shared" si="3"/>
        <v>0.58592460802050483</v>
      </c>
      <c r="Q18" s="29">
        <f>O18/'Revenue projections'!$C$7</f>
        <v>6.0280309467130137E-3</v>
      </c>
      <c r="R18" s="29">
        <f>P18/'Revenue projections'!$C$7</f>
        <v>2.1700911408166847E-2</v>
      </c>
    </row>
    <row r="19" spans="2:18" ht="18" customHeight="1" x14ac:dyDescent="0.25">
      <c r="B19" s="41" t="s">
        <v>88</v>
      </c>
      <c r="C19" s="53"/>
      <c r="D19" s="53"/>
      <c r="E19" s="53"/>
      <c r="F19" s="24">
        <f t="shared" si="4"/>
        <v>0</v>
      </c>
      <c r="G19" s="24">
        <f t="shared" si="5"/>
        <v>0</v>
      </c>
      <c r="H19" s="56">
        <v>203800</v>
      </c>
      <c r="I19" s="25">
        <f t="shared" si="0"/>
        <v>2.0672935495978009E-2</v>
      </c>
      <c r="J19" s="56">
        <v>498</v>
      </c>
      <c r="K19" s="25">
        <f t="shared" si="1"/>
        <v>7.819246651698095E-3</v>
      </c>
      <c r="L19" s="57"/>
      <c r="M19" s="24">
        <f t="shared" si="6"/>
        <v>0.11173094501205667</v>
      </c>
      <c r="N19" s="24">
        <f t="shared" si="7"/>
        <v>0.40223140204340402</v>
      </c>
      <c r="O19" s="24">
        <f t="shared" si="2"/>
        <v>0.11173094501205667</v>
      </c>
      <c r="P19" s="24">
        <f t="shared" si="3"/>
        <v>0.40223140204340402</v>
      </c>
      <c r="Q19" s="29">
        <f>O19/'Revenue projections'!$C$7</f>
        <v>4.1381831485946914E-3</v>
      </c>
      <c r="R19" s="29">
        <f>P19/'Revenue projections'!$C$7</f>
        <v>1.4897459334940889E-2</v>
      </c>
    </row>
    <row r="20" spans="2:18" ht="18" customHeight="1" x14ac:dyDescent="0.25">
      <c r="B20" s="41" t="s">
        <v>8</v>
      </c>
      <c r="C20" s="53"/>
      <c r="D20" s="53"/>
      <c r="E20" s="53"/>
      <c r="F20" s="24">
        <f t="shared" si="4"/>
        <v>0</v>
      </c>
      <c r="G20" s="24">
        <f t="shared" si="5"/>
        <v>0</v>
      </c>
      <c r="H20" s="56">
        <v>252400</v>
      </c>
      <c r="I20" s="25">
        <f t="shared" si="0"/>
        <v>2.5602791556353529E-2</v>
      </c>
      <c r="J20" s="56">
        <v>844</v>
      </c>
      <c r="K20" s="25">
        <f t="shared" si="1"/>
        <v>1.3251895931793559E-2</v>
      </c>
      <c r="L20" s="57"/>
      <c r="M20" s="24">
        <f t="shared" si="6"/>
        <v>0.15236709244303684</v>
      </c>
      <c r="N20" s="24">
        <f t="shared" si="7"/>
        <v>0.54852153279493265</v>
      </c>
      <c r="O20" s="24">
        <f t="shared" si="2"/>
        <v>0.15236709244303684</v>
      </c>
      <c r="P20" s="24">
        <f t="shared" si="3"/>
        <v>0.54852153279493265</v>
      </c>
      <c r="Q20" s="29">
        <f>O20/'Revenue projections'!$C$7</f>
        <v>5.6432256460384016E-3</v>
      </c>
      <c r="R20" s="29">
        <f>P20/'Revenue projections'!$C$7</f>
        <v>2.0315612325738246E-2</v>
      </c>
    </row>
    <row r="21" spans="2:18" ht="18" customHeight="1" x14ac:dyDescent="0.25">
      <c r="B21" s="41" t="s">
        <v>7</v>
      </c>
      <c r="C21" s="53">
        <v>1</v>
      </c>
      <c r="D21" s="55">
        <v>4.2500000000000003E-2</v>
      </c>
      <c r="E21" s="53"/>
      <c r="F21" s="24">
        <f t="shared" si="4"/>
        <v>0.33332407734868524</v>
      </c>
      <c r="G21" s="24">
        <f t="shared" si="5"/>
        <v>1.1999666784552667</v>
      </c>
      <c r="H21" s="56">
        <v>269000</v>
      </c>
      <c r="I21" s="25">
        <f t="shared" si="0"/>
        <v>2.7286651856811013E-2</v>
      </c>
      <c r="J21" s="56">
        <v>1568</v>
      </c>
      <c r="K21" s="25">
        <f t="shared" si="1"/>
        <v>2.4619636043900831E-2</v>
      </c>
      <c r="L21" s="57"/>
      <c r="M21" s="24">
        <f t="shared" si="6"/>
        <v>0.20354841791882353</v>
      </c>
      <c r="N21" s="24">
        <f t="shared" si="7"/>
        <v>0.7327743045077646</v>
      </c>
      <c r="O21" s="24">
        <f t="shared" si="2"/>
        <v>0.5368724952675088</v>
      </c>
      <c r="P21" s="24">
        <f t="shared" si="3"/>
        <v>1.9327409829630313</v>
      </c>
      <c r="Q21" s="29">
        <f>O21/'Revenue projections'!$C$7</f>
        <v>1.9884166491389216E-2</v>
      </c>
      <c r="R21" s="29">
        <f>P21/'Revenue projections'!$C$7</f>
        <v>7.1582999369001157E-2</v>
      </c>
    </row>
    <row r="22" spans="2:18" ht="18" customHeight="1" x14ac:dyDescent="0.25">
      <c r="B22" s="41" t="s">
        <v>89</v>
      </c>
      <c r="C22" s="53">
        <v>1</v>
      </c>
      <c r="D22" s="55">
        <v>4.2500000000000003E-2</v>
      </c>
      <c r="E22" s="53"/>
      <c r="F22" s="24">
        <f t="shared" si="4"/>
        <v>0.33332407734868524</v>
      </c>
      <c r="G22" s="24">
        <f t="shared" si="5"/>
        <v>1.1999666784552667</v>
      </c>
      <c r="H22" s="56">
        <v>131000</v>
      </c>
      <c r="I22" s="25">
        <f t="shared" si="0"/>
        <v>1.328829514216447E-2</v>
      </c>
      <c r="J22" s="56">
        <v>2070</v>
      </c>
      <c r="K22" s="25">
        <f t="shared" si="1"/>
        <v>3.2501687889588467E-2</v>
      </c>
      <c r="L22" s="57"/>
      <c r="M22" s="24">
        <f t="shared" si="6"/>
        <v>0.17956357465730588</v>
      </c>
      <c r="N22" s="24">
        <f t="shared" si="7"/>
        <v>0.64642886876630112</v>
      </c>
      <c r="O22" s="24">
        <f t="shared" si="2"/>
        <v>0.51288765200599107</v>
      </c>
      <c r="P22" s="24">
        <f t="shared" si="3"/>
        <v>1.8463955472215678</v>
      </c>
      <c r="Q22" s="29">
        <f>O22/'Revenue projections'!$C$7</f>
        <v>1.8995838963184856E-2</v>
      </c>
      <c r="R22" s="29">
        <f>P22/'Revenue projections'!$C$7</f>
        <v>6.8385020267465471E-2</v>
      </c>
    </row>
    <row r="23" spans="2:18" ht="18" customHeight="1" x14ac:dyDescent="0.25">
      <c r="B23" s="41" t="s">
        <v>3</v>
      </c>
      <c r="C23" s="53"/>
      <c r="D23" s="53"/>
      <c r="E23" s="53"/>
      <c r="F23" s="24">
        <f t="shared" si="4"/>
        <v>0</v>
      </c>
      <c r="G23" s="24">
        <f t="shared" si="5"/>
        <v>0</v>
      </c>
      <c r="H23" s="56">
        <v>286400</v>
      </c>
      <c r="I23" s="25">
        <f t="shared" si="0"/>
        <v>2.9051662051266445E-2</v>
      </c>
      <c r="J23" s="56">
        <v>969</v>
      </c>
      <c r="K23" s="25">
        <f t="shared" si="1"/>
        <v>1.5214558243966777E-2</v>
      </c>
      <c r="L23" s="58"/>
      <c r="M23" s="24">
        <f t="shared" si="6"/>
        <v>0.1735882004426148</v>
      </c>
      <c r="N23" s="24">
        <f t="shared" si="7"/>
        <v>0.62491752159341318</v>
      </c>
      <c r="O23" s="24">
        <f t="shared" si="2"/>
        <v>0.1735882004426148</v>
      </c>
      <c r="P23" s="24">
        <f t="shared" si="3"/>
        <v>0.62491752159341318</v>
      </c>
      <c r="Q23" s="29">
        <f>O23/'Revenue projections'!$C$7</f>
        <v>6.4291926089857336E-3</v>
      </c>
      <c r="R23" s="29">
        <f>P23/'Revenue projections'!$C$7</f>
        <v>2.3145093392348635E-2</v>
      </c>
    </row>
    <row r="24" spans="2:18" ht="18" customHeight="1" x14ac:dyDescent="0.25">
      <c r="B24" s="41" t="s">
        <v>10</v>
      </c>
      <c r="C24" s="53"/>
      <c r="D24" s="53"/>
      <c r="E24" s="53"/>
      <c r="F24" s="24">
        <f t="shared" si="4"/>
        <v>0</v>
      </c>
      <c r="G24" s="24">
        <f t="shared" si="5"/>
        <v>0</v>
      </c>
      <c r="H24" s="56">
        <v>231100</v>
      </c>
      <c r="I24" s="25">
        <f t="shared" si="0"/>
        <v>2.3442175628658087E-2</v>
      </c>
      <c r="J24" s="56">
        <v>1810</v>
      </c>
      <c r="K24" s="25">
        <f t="shared" si="1"/>
        <v>2.841935028026818E-2</v>
      </c>
      <c r="L24" s="57"/>
      <c r="M24" s="24">
        <f t="shared" si="6"/>
        <v>0.20337288557044447</v>
      </c>
      <c r="N24" s="24">
        <f t="shared" si="7"/>
        <v>0.7321423880536001</v>
      </c>
      <c r="O24" s="24">
        <f t="shared" si="2"/>
        <v>0.20337288557044447</v>
      </c>
      <c r="P24" s="24">
        <f t="shared" si="3"/>
        <v>0.7321423880536001</v>
      </c>
      <c r="Q24" s="29">
        <f>O24/'Revenue projections'!$C$7</f>
        <v>7.5323290952016468E-3</v>
      </c>
      <c r="R24" s="29">
        <f>P24/'Revenue projections'!$C$7</f>
        <v>2.711638474272593E-2</v>
      </c>
    </row>
    <row r="25" spans="2:18" ht="18" customHeight="1" x14ac:dyDescent="0.25">
      <c r="B25" s="41" t="s">
        <v>90</v>
      </c>
      <c r="C25" s="53"/>
      <c r="D25" s="53"/>
      <c r="E25" s="53"/>
      <c r="F25" s="24">
        <f t="shared" si="4"/>
        <v>0</v>
      </c>
      <c r="G25" s="24">
        <f t="shared" si="5"/>
        <v>0</v>
      </c>
      <c r="H25" s="56">
        <v>459700</v>
      </c>
      <c r="I25" s="25">
        <f t="shared" si="0"/>
        <v>4.6630757838572574E-2</v>
      </c>
      <c r="J25" s="56">
        <v>150</v>
      </c>
      <c r="K25" s="25">
        <f t="shared" si="1"/>
        <v>2.3551947746078602E-3</v>
      </c>
      <c r="L25" s="57"/>
      <c r="M25" s="24">
        <f t="shared" si="6"/>
        <v>0.19209644068040924</v>
      </c>
      <c r="N25" s="24">
        <f t="shared" si="7"/>
        <v>0.69154718644947322</v>
      </c>
      <c r="O25" s="24">
        <f t="shared" si="2"/>
        <v>0.19209644068040924</v>
      </c>
      <c r="P25" s="24">
        <f t="shared" si="3"/>
        <v>0.69154718644947322</v>
      </c>
      <c r="Q25" s="29">
        <f>O25/'Revenue projections'!$C$7</f>
        <v>7.1146829881633053E-3</v>
      </c>
      <c r="R25" s="29">
        <f>P25/'Revenue projections'!$C$7</f>
        <v>2.5612858757387898E-2</v>
      </c>
    </row>
    <row r="26" spans="2:18" ht="18" customHeight="1" x14ac:dyDescent="0.25">
      <c r="B26" s="41" t="s">
        <v>91</v>
      </c>
      <c r="C26" s="53"/>
      <c r="D26" s="53"/>
      <c r="E26" s="53"/>
      <c r="F26" s="24">
        <f t="shared" si="4"/>
        <v>0</v>
      </c>
      <c r="G26" s="24">
        <f t="shared" si="5"/>
        <v>0</v>
      </c>
      <c r="H26" s="56">
        <v>556000</v>
      </c>
      <c r="I26" s="25">
        <f t="shared" si="0"/>
        <v>5.6399176328575919E-2</v>
      </c>
      <c r="J26" s="56">
        <v>1688</v>
      </c>
      <c r="K26" s="25">
        <f t="shared" si="1"/>
        <v>2.6503791863587117E-2</v>
      </c>
      <c r="L26" s="57"/>
      <c r="M26" s="24">
        <f t="shared" si="6"/>
        <v>0.32510065155435464</v>
      </c>
      <c r="N26" s="24">
        <f t="shared" si="7"/>
        <v>1.1703623455956764</v>
      </c>
      <c r="O26" s="24">
        <f t="shared" si="2"/>
        <v>0.32510065155435464</v>
      </c>
      <c r="P26" s="24">
        <f t="shared" si="3"/>
        <v>1.1703623455956764</v>
      </c>
      <c r="Q26" s="29">
        <f>O26/'Revenue projections'!$C$7</f>
        <v>1.2040764872383505E-2</v>
      </c>
      <c r="R26" s="29">
        <f>P26/'Revenue projections'!$C$7</f>
        <v>4.334675354058061E-2</v>
      </c>
    </row>
    <row r="27" spans="2:18" ht="18" customHeight="1" x14ac:dyDescent="0.25">
      <c r="B27" s="41" t="s">
        <v>12</v>
      </c>
      <c r="C27" s="53"/>
      <c r="D27" s="53"/>
      <c r="E27" s="53"/>
      <c r="F27" s="24">
        <f t="shared" si="4"/>
        <v>0</v>
      </c>
      <c r="G27" s="24">
        <f t="shared" si="5"/>
        <v>0</v>
      </c>
      <c r="H27" s="56">
        <v>359500</v>
      </c>
      <c r="I27" s="25">
        <f t="shared" si="0"/>
        <v>3.6466733615329212E-2</v>
      </c>
      <c r="J27" s="56">
        <v>1693</v>
      </c>
      <c r="K27" s="25">
        <f t="shared" si="1"/>
        <v>2.6582298356074046E-2</v>
      </c>
      <c r="L27" s="57"/>
      <c r="M27" s="24">
        <f t="shared" si="6"/>
        <v>0.24724424011289114</v>
      </c>
      <c r="N27" s="24">
        <f t="shared" si="7"/>
        <v>0.89007926440640794</v>
      </c>
      <c r="O27" s="24">
        <f t="shared" si="2"/>
        <v>0.24724424011289114</v>
      </c>
      <c r="P27" s="24">
        <f t="shared" si="3"/>
        <v>0.89007926440640794</v>
      </c>
      <c r="Q27" s="29">
        <f>O27/'Revenue projections'!$C$7</f>
        <v>9.1571940782552274E-3</v>
      </c>
      <c r="R27" s="29">
        <f>P27/'Revenue projections'!$C$7</f>
        <v>3.2965898681718814E-2</v>
      </c>
    </row>
    <row r="28" spans="2:18" ht="18" customHeight="1" x14ac:dyDescent="0.25">
      <c r="B28" s="41" t="s">
        <v>19</v>
      </c>
      <c r="C28" s="53"/>
      <c r="D28" s="53"/>
      <c r="E28" s="53"/>
      <c r="F28" s="24">
        <f t="shared" si="4"/>
        <v>0</v>
      </c>
      <c r="G28" s="24">
        <f t="shared" si="5"/>
        <v>0</v>
      </c>
      <c r="H28" s="56">
        <v>285500</v>
      </c>
      <c r="I28" s="25">
        <f t="shared" si="0"/>
        <v>2.8960368420518752E-2</v>
      </c>
      <c r="J28" s="56">
        <v>1271</v>
      </c>
      <c r="K28" s="25">
        <f t="shared" si="1"/>
        <v>1.9956350390177267E-2</v>
      </c>
      <c r="L28" s="57"/>
      <c r="M28" s="24">
        <f t="shared" si="6"/>
        <v>0.19182494311176854</v>
      </c>
      <c r="N28" s="24">
        <f t="shared" si="7"/>
        <v>0.69056979520236661</v>
      </c>
      <c r="O28" s="24">
        <f t="shared" si="2"/>
        <v>0.19182494311176854</v>
      </c>
      <c r="P28" s="24">
        <f t="shared" si="3"/>
        <v>0.69056979520236661</v>
      </c>
      <c r="Q28" s="29">
        <f>O28/'Revenue projections'!$C$7</f>
        <v>7.1046275226580935E-3</v>
      </c>
      <c r="R28" s="29">
        <f>P28/'Revenue projections'!$C$7</f>
        <v>2.5576659081569135E-2</v>
      </c>
    </row>
    <row r="29" spans="2:18" ht="18" customHeight="1" x14ac:dyDescent="0.25">
      <c r="B29" s="41" t="s">
        <v>16</v>
      </c>
      <c r="C29" s="53"/>
      <c r="D29" s="53"/>
      <c r="E29" s="53"/>
      <c r="F29" s="24">
        <f t="shared" si="4"/>
        <v>0</v>
      </c>
      <c r="G29" s="24">
        <f t="shared" si="5"/>
        <v>0</v>
      </c>
      <c r="H29" s="56">
        <v>827200</v>
      </c>
      <c r="I29" s="25">
        <f t="shared" si="0"/>
        <v>8.3908990393881291E-2</v>
      </c>
      <c r="J29" s="56">
        <v>2943</v>
      </c>
      <c r="K29" s="25">
        <f t="shared" si="1"/>
        <v>4.6208921477806211E-2</v>
      </c>
      <c r="L29" s="57"/>
      <c r="M29" s="24">
        <f t="shared" si="6"/>
        <v>0.51025215201373852</v>
      </c>
      <c r="N29" s="24">
        <f t="shared" si="7"/>
        <v>1.8369077472494584</v>
      </c>
      <c r="O29" s="24">
        <f t="shared" si="2"/>
        <v>0.51025215201373852</v>
      </c>
      <c r="P29" s="24">
        <f t="shared" si="3"/>
        <v>1.8369077472494584</v>
      </c>
      <c r="Q29" s="29">
        <f>O29/'Revenue projections'!$C$7</f>
        <v>1.8898227852360686E-2</v>
      </c>
      <c r="R29" s="29">
        <f>P29/'Revenue projections'!$C$7</f>
        <v>6.8033620268498463E-2</v>
      </c>
    </row>
    <row r="30" spans="2:18" ht="18" customHeight="1" x14ac:dyDescent="0.25">
      <c r="B30" s="41" t="s">
        <v>13</v>
      </c>
      <c r="C30" s="53"/>
      <c r="D30" s="53"/>
      <c r="E30" s="53"/>
      <c r="F30" s="24">
        <f t="shared" si="4"/>
        <v>0</v>
      </c>
      <c r="G30" s="24">
        <f t="shared" si="5"/>
        <v>0</v>
      </c>
      <c r="H30" s="56">
        <v>220000</v>
      </c>
      <c r="I30" s="25">
        <f t="shared" si="0"/>
        <v>2.2316220849436515E-2</v>
      </c>
      <c r="J30" s="56">
        <v>4245</v>
      </c>
      <c r="K30" s="25">
        <f t="shared" si="1"/>
        <v>6.665201212140244E-2</v>
      </c>
      <c r="L30" s="57"/>
      <c r="M30" s="24">
        <f t="shared" si="6"/>
        <v>0.34888534315703262</v>
      </c>
      <c r="N30" s="24">
        <f t="shared" si="7"/>
        <v>1.2559872353653172</v>
      </c>
      <c r="O30" s="24">
        <f t="shared" si="2"/>
        <v>0.34888534315703262</v>
      </c>
      <c r="P30" s="24">
        <f t="shared" si="3"/>
        <v>1.2559872353653172</v>
      </c>
      <c r="Q30" s="29">
        <f>O30/'Revenue projections'!$C$7</f>
        <v>1.2921679376186393E-2</v>
      </c>
      <c r="R30" s="29">
        <f>P30/'Revenue projections'!$C$7</f>
        <v>4.6518045754271008E-2</v>
      </c>
    </row>
    <row r="31" spans="2:18" ht="18" customHeight="1" x14ac:dyDescent="0.25">
      <c r="B31" s="41" t="s">
        <v>92</v>
      </c>
      <c r="C31" s="53">
        <v>1</v>
      </c>
      <c r="D31" s="55">
        <v>4.2500000000000003E-2</v>
      </c>
      <c r="E31" s="53"/>
      <c r="F31" s="24">
        <f t="shared" si="4"/>
        <v>0.33332407734868524</v>
      </c>
      <c r="G31" s="24">
        <f t="shared" si="5"/>
        <v>1.1999666784552667</v>
      </c>
      <c r="H31" s="56">
        <v>395200</v>
      </c>
      <c r="I31" s="25">
        <f t="shared" si="0"/>
        <v>4.0088047634987779E-2</v>
      </c>
      <c r="J31" s="56">
        <v>2097</v>
      </c>
      <c r="K31" s="25">
        <f t="shared" si="1"/>
        <v>3.2925622949017887E-2</v>
      </c>
      <c r="L31" s="57"/>
      <c r="M31" s="24">
        <f t="shared" si="6"/>
        <v>0.28632016919122971</v>
      </c>
      <c r="N31" s="24">
        <f t="shared" si="7"/>
        <v>1.0307526090884269</v>
      </c>
      <c r="O31" s="24">
        <f t="shared" si="2"/>
        <v>0.61964424653991501</v>
      </c>
      <c r="P31" s="24">
        <f t="shared" si="3"/>
        <v>2.2307192875436934</v>
      </c>
      <c r="Q31" s="29">
        <f>O31/'Revenue projections'!$C$7</f>
        <v>2.2949786908885741E-2</v>
      </c>
      <c r="R31" s="29">
        <f>P31/'Revenue projections'!$C$7</f>
        <v>8.2619232871988649E-2</v>
      </c>
    </row>
    <row r="32" spans="2:18" ht="18" customHeight="1" x14ac:dyDescent="0.25">
      <c r="B32" s="41" t="s">
        <v>21</v>
      </c>
      <c r="C32" s="53"/>
      <c r="D32" s="53"/>
      <c r="E32" s="53"/>
      <c r="F32" s="24">
        <f t="shared" si="4"/>
        <v>0</v>
      </c>
      <c r="G32" s="24">
        <f t="shared" si="5"/>
        <v>0</v>
      </c>
      <c r="H32" s="56">
        <v>330800</v>
      </c>
      <c r="I32" s="25">
        <f t="shared" si="0"/>
        <v>3.3555481168152726E-2</v>
      </c>
      <c r="J32" s="56">
        <v>3624</v>
      </c>
      <c r="K32" s="25">
        <f t="shared" si="1"/>
        <v>5.6901505754525898E-2</v>
      </c>
      <c r="L32" s="57"/>
      <c r="M32" s="24">
        <f t="shared" si="6"/>
        <v>0.35472343183228161</v>
      </c>
      <c r="N32" s="24">
        <f t="shared" si="7"/>
        <v>1.2770043545962138</v>
      </c>
      <c r="O32" s="24">
        <f t="shared" si="2"/>
        <v>0.35472343183228161</v>
      </c>
      <c r="P32" s="24">
        <f t="shared" si="3"/>
        <v>1.2770043545962138</v>
      </c>
      <c r="Q32" s="29">
        <f>O32/'Revenue projections'!$C$7</f>
        <v>1.3137904882677097E-2</v>
      </c>
      <c r="R32" s="29">
        <f>P32/'Revenue projections'!$C$7</f>
        <v>4.7296457577637549E-2</v>
      </c>
    </row>
    <row r="33" spans="2:18" ht="18" customHeight="1" x14ac:dyDescent="0.25">
      <c r="B33" s="41" t="s">
        <v>93</v>
      </c>
      <c r="C33" s="53"/>
      <c r="D33" s="53"/>
      <c r="E33" s="53"/>
      <c r="F33" s="24">
        <f t="shared" si="4"/>
        <v>0</v>
      </c>
      <c r="G33" s="24">
        <f t="shared" si="5"/>
        <v>0</v>
      </c>
      <c r="H33" s="56">
        <v>191200</v>
      </c>
      <c r="I33" s="25">
        <f t="shared" si="0"/>
        <v>1.939482466551028E-2</v>
      </c>
      <c r="J33" s="56">
        <v>715</v>
      </c>
      <c r="K33" s="25">
        <f t="shared" si="1"/>
        <v>1.12264284256308E-2</v>
      </c>
      <c r="L33" s="57"/>
      <c r="M33" s="24">
        <f t="shared" si="6"/>
        <v>0.12008001098664912</v>
      </c>
      <c r="N33" s="24">
        <f t="shared" si="7"/>
        <v>0.43228803955193684</v>
      </c>
      <c r="O33" s="24">
        <f t="shared" si="2"/>
        <v>0.12008001098664912</v>
      </c>
      <c r="P33" s="24">
        <f t="shared" si="3"/>
        <v>0.43228803955193684</v>
      </c>
      <c r="Q33" s="29">
        <f>O33/'Revenue projections'!$C$7</f>
        <v>4.4474078143203382E-3</v>
      </c>
      <c r="R33" s="29">
        <f>P33/'Revenue projections'!$C$7</f>
        <v>1.6010668131553215E-2</v>
      </c>
    </row>
    <row r="34" spans="2:18" ht="18" customHeight="1" x14ac:dyDescent="0.25">
      <c r="B34" s="41" t="s">
        <v>94</v>
      </c>
      <c r="C34" s="53"/>
      <c r="D34" s="53"/>
      <c r="E34" s="53"/>
      <c r="F34" s="24">
        <f t="shared" si="4"/>
        <v>0</v>
      </c>
      <c r="G34" s="24">
        <f t="shared" si="5"/>
        <v>0</v>
      </c>
      <c r="H34" s="56">
        <v>564500</v>
      </c>
      <c r="I34" s="25">
        <f t="shared" si="0"/>
        <v>5.7261393952304153E-2</v>
      </c>
      <c r="J34" s="56">
        <v>2357</v>
      </c>
      <c r="K34" s="25">
        <f t="shared" si="1"/>
        <v>3.7007960558338174E-2</v>
      </c>
      <c r="L34" s="57"/>
      <c r="M34" s="24">
        <f t="shared" si="6"/>
        <v>0.36967347781783499</v>
      </c>
      <c r="N34" s="24">
        <f t="shared" si="7"/>
        <v>1.3308245201442057</v>
      </c>
      <c r="O34" s="24">
        <f t="shared" si="2"/>
        <v>0.36967347781783499</v>
      </c>
      <c r="P34" s="24">
        <f t="shared" si="3"/>
        <v>1.3308245201442057</v>
      </c>
      <c r="Q34" s="29">
        <f>O34/'Revenue projections'!$C$7</f>
        <v>1.3691610289549445E-2</v>
      </c>
      <c r="R34" s="29">
        <f>P34/'Revenue projections'!$C$7</f>
        <v>4.9289797042377986E-2</v>
      </c>
    </row>
    <row r="35" spans="2:18" ht="18" customHeight="1" x14ac:dyDescent="0.25">
      <c r="B35" s="41" t="s">
        <v>95</v>
      </c>
      <c r="C35" s="53"/>
      <c r="D35" s="53"/>
      <c r="E35" s="53"/>
      <c r="F35" s="24">
        <f t="shared" si="4"/>
        <v>0</v>
      </c>
      <c r="G35" s="24">
        <f t="shared" si="5"/>
        <v>0</v>
      </c>
      <c r="H35" s="56">
        <v>215800</v>
      </c>
      <c r="I35" s="25">
        <f t="shared" si="0"/>
        <v>2.1890183905947273E-2</v>
      </c>
      <c r="J35" s="56">
        <v>1572</v>
      </c>
      <c r="K35" s="25">
        <f t="shared" si="1"/>
        <v>2.4682441237890373E-2</v>
      </c>
      <c r="L35" s="57"/>
      <c r="M35" s="24">
        <f t="shared" si="6"/>
        <v>0.18263267418559836</v>
      </c>
      <c r="N35" s="24">
        <f t="shared" si="7"/>
        <v>0.65747762706815416</v>
      </c>
      <c r="O35" s="24">
        <f t="shared" si="2"/>
        <v>0.18263267418559836</v>
      </c>
      <c r="P35" s="24">
        <f t="shared" si="3"/>
        <v>0.65747762706815416</v>
      </c>
      <c r="Q35" s="29">
        <f>O35/'Revenue projections'!$C$7</f>
        <v>6.7641731179851243E-3</v>
      </c>
      <c r="R35" s="29">
        <f>P35/'Revenue projections'!$C$7</f>
        <v>2.435102322474645E-2</v>
      </c>
    </row>
    <row r="36" spans="2:18" ht="18" customHeight="1" x14ac:dyDescent="0.25">
      <c r="B36" s="41" t="s">
        <v>18</v>
      </c>
      <c r="C36" s="53"/>
      <c r="D36" s="53"/>
      <c r="E36" s="53"/>
      <c r="F36" s="24">
        <f t="shared" si="4"/>
        <v>0</v>
      </c>
      <c r="G36" s="24">
        <f t="shared" si="5"/>
        <v>0</v>
      </c>
      <c r="H36" s="56">
        <v>358100</v>
      </c>
      <c r="I36" s="25">
        <f t="shared" si="0"/>
        <v>3.63247213008328E-2</v>
      </c>
      <c r="J36" s="56">
        <v>3932</v>
      </c>
      <c r="K36" s="25">
        <f t="shared" si="1"/>
        <v>6.1737505691720707E-2</v>
      </c>
      <c r="L36" s="57"/>
      <c r="M36" s="24">
        <f t="shared" si="6"/>
        <v>0.38454707453000275</v>
      </c>
      <c r="N36" s="24">
        <f t="shared" si="7"/>
        <v>1.3843694683080097</v>
      </c>
      <c r="O36" s="24">
        <f t="shared" si="2"/>
        <v>0.38454707453000275</v>
      </c>
      <c r="P36" s="24">
        <f t="shared" si="3"/>
        <v>1.3843694683080097</v>
      </c>
      <c r="Q36" s="29">
        <f>O36/'Revenue projections'!$C$7</f>
        <v>1.4242484241851953E-2</v>
      </c>
      <c r="R36" s="29">
        <f>P36/'Revenue projections'!$C$7</f>
        <v>5.1272943270667025E-2</v>
      </c>
    </row>
    <row r="37" spans="2:18" ht="18" customHeight="1" x14ac:dyDescent="0.25">
      <c r="B37" s="41" t="s">
        <v>5</v>
      </c>
      <c r="C37" s="53"/>
      <c r="D37" s="53"/>
      <c r="E37" s="53"/>
      <c r="F37" s="24">
        <f t="shared" si="4"/>
        <v>0</v>
      </c>
      <c r="G37" s="24">
        <f t="shared" si="5"/>
        <v>0</v>
      </c>
      <c r="H37" s="56">
        <v>197500</v>
      </c>
      <c r="I37" s="25">
        <f t="shared" si="0"/>
        <v>2.0033880080744144E-2</v>
      </c>
      <c r="J37" s="56">
        <v>542</v>
      </c>
      <c r="K37" s="25">
        <f t="shared" si="1"/>
        <v>8.5101037855830671E-3</v>
      </c>
      <c r="L37" s="57"/>
      <c r="M37" s="24">
        <f t="shared" si="6"/>
        <v>0.11193408336587382</v>
      </c>
      <c r="N37" s="24">
        <f t="shared" si="7"/>
        <v>0.40296270011714574</v>
      </c>
      <c r="O37" s="24">
        <f t="shared" si="2"/>
        <v>0.11193408336587382</v>
      </c>
      <c r="P37" s="24">
        <f t="shared" si="3"/>
        <v>0.40296270011714574</v>
      </c>
      <c r="Q37" s="29">
        <f>O37/'Revenue projections'!$C$7</f>
        <v>4.1457067913286605E-3</v>
      </c>
      <c r="R37" s="29">
        <f>P37/'Revenue projections'!$C$7</f>
        <v>1.4924544448783175E-2</v>
      </c>
    </row>
    <row r="38" spans="2:18" ht="18" customHeight="1" x14ac:dyDescent="0.25">
      <c r="B38" s="41" t="s">
        <v>6</v>
      </c>
      <c r="C38" s="53"/>
      <c r="D38" s="53"/>
      <c r="E38" s="53"/>
      <c r="F38" s="24">
        <f t="shared" si="4"/>
        <v>0</v>
      </c>
      <c r="G38" s="24">
        <f t="shared" si="5"/>
        <v>0</v>
      </c>
      <c r="H38" s="56">
        <v>114100</v>
      </c>
      <c r="I38" s="25">
        <f t="shared" si="0"/>
        <v>1.1574003631457757E-2</v>
      </c>
      <c r="J38" s="56">
        <v>1902</v>
      </c>
      <c r="K38" s="25">
        <f t="shared" si="1"/>
        <v>2.9863869742027666E-2</v>
      </c>
      <c r="L38" s="57"/>
      <c r="M38" s="24">
        <f t="shared" si="6"/>
        <v>0.1624969518765727</v>
      </c>
      <c r="N38" s="24">
        <f t="shared" si="7"/>
        <v>0.58498902675566167</v>
      </c>
      <c r="O38" s="24">
        <f t="shared" si="2"/>
        <v>0.1624969518765727</v>
      </c>
      <c r="P38" s="24">
        <f t="shared" si="3"/>
        <v>0.58498902675566167</v>
      </c>
      <c r="Q38" s="29">
        <f>O38/'Revenue projections'!$C$7</f>
        <v>6.0184056250582483E-3</v>
      </c>
      <c r="R38" s="29">
        <f>P38/'Revenue projections'!$C$7</f>
        <v>2.1666260250209693E-2</v>
      </c>
    </row>
    <row r="39" spans="2:18" ht="18" customHeight="1" x14ac:dyDescent="0.25">
      <c r="B39" s="41" t="s">
        <v>20</v>
      </c>
      <c r="C39" s="53"/>
      <c r="D39" s="53"/>
      <c r="E39" s="53"/>
      <c r="F39" s="24">
        <f t="shared" si="4"/>
        <v>0</v>
      </c>
      <c r="G39" s="24">
        <f t="shared" si="5"/>
        <v>0</v>
      </c>
      <c r="H39" s="56">
        <v>298300</v>
      </c>
      <c r="I39" s="25">
        <f t="shared" si="0"/>
        <v>3.0258766724485967E-2</v>
      </c>
      <c r="J39" s="56">
        <v>1915</v>
      </c>
      <c r="K39" s="25">
        <f t="shared" si="1"/>
        <v>3.006798662249368E-2</v>
      </c>
      <c r="L39" s="57"/>
      <c r="M39" s="24">
        <f t="shared" si="6"/>
        <v>0.23656893410380822</v>
      </c>
      <c r="N39" s="24">
        <f t="shared" si="7"/>
        <v>0.85164816277370958</v>
      </c>
      <c r="O39" s="24">
        <f t="shared" si="2"/>
        <v>0.23656893410380822</v>
      </c>
      <c r="P39" s="24">
        <f t="shared" si="3"/>
        <v>0.85164816277370958</v>
      </c>
      <c r="Q39" s="29">
        <f>O39/'Revenue projections'!$C$7</f>
        <v>8.7618123742151197E-3</v>
      </c>
      <c r="R39" s="29">
        <f>P39/'Revenue projections'!$C$7</f>
        <v>3.1542524547174426E-2</v>
      </c>
    </row>
    <row r="40" spans="2:18" ht="18" customHeight="1" x14ac:dyDescent="0.25">
      <c r="B40" s="41" t="s">
        <v>22</v>
      </c>
      <c r="C40" s="53">
        <v>1</v>
      </c>
      <c r="D40" s="55">
        <v>4.2500000000000003E-2</v>
      </c>
      <c r="E40" s="53"/>
      <c r="F40" s="24">
        <f t="shared" si="4"/>
        <v>0.33332407734868524</v>
      </c>
      <c r="G40" s="24">
        <f t="shared" si="5"/>
        <v>1.1999666784552667</v>
      </c>
      <c r="H40" s="56">
        <v>79200</v>
      </c>
      <c r="I40" s="25">
        <f t="shared" si="0"/>
        <v>8.0338395057971447E-3</v>
      </c>
      <c r="J40" s="56">
        <v>1239</v>
      </c>
      <c r="K40" s="25">
        <f t="shared" si="1"/>
        <v>1.9453908838260925E-2</v>
      </c>
      <c r="L40" s="57"/>
      <c r="M40" s="24">
        <f t="shared" si="6"/>
        <v>0.10779209829618831</v>
      </c>
      <c r="N40" s="24">
        <f t="shared" si="7"/>
        <v>0.38805155386627788</v>
      </c>
      <c r="O40" s="24">
        <f t="shared" si="2"/>
        <v>0.44111617564487354</v>
      </c>
      <c r="P40" s="24">
        <f t="shared" si="3"/>
        <v>1.5880182323215446</v>
      </c>
      <c r="Q40" s="29">
        <f>O40/'Revenue projections'!$C$7</f>
        <v>1.6337636134995316E-2</v>
      </c>
      <c r="R40" s="29">
        <f>P40/'Revenue projections'!$C$7</f>
        <v>5.8815490085983135E-2</v>
      </c>
    </row>
    <row r="41" spans="2:18" ht="18" customHeight="1" x14ac:dyDescent="0.25">
      <c r="B41" s="41" t="s">
        <v>15</v>
      </c>
      <c r="C41" s="53">
        <v>1</v>
      </c>
      <c r="D41" s="55">
        <v>0.41499999999999998</v>
      </c>
      <c r="E41" s="53"/>
      <c r="F41" s="24">
        <f t="shared" si="4"/>
        <v>3.254811578816573</v>
      </c>
      <c r="G41" s="24">
        <f t="shared" si="5"/>
        <v>11.717321683739662</v>
      </c>
      <c r="H41" s="56">
        <v>285800</v>
      </c>
      <c r="I41" s="25">
        <f t="shared" si="0"/>
        <v>2.8990799630767981E-2</v>
      </c>
      <c r="J41" s="56">
        <v>4601</v>
      </c>
      <c r="K41" s="25">
        <f t="shared" si="1"/>
        <v>7.2241674386471763E-2</v>
      </c>
      <c r="L41" s="57"/>
      <c r="M41" s="24">
        <f t="shared" si="6"/>
        <v>0.39697907058260223</v>
      </c>
      <c r="N41" s="24">
        <f t="shared" si="7"/>
        <v>1.4291246540973679</v>
      </c>
      <c r="O41" s="24">
        <f t="shared" si="2"/>
        <v>3.6517906493991754</v>
      </c>
      <c r="P41" s="24">
        <f t="shared" si="3"/>
        <v>13.14644633783703</v>
      </c>
      <c r="Q41" s="29">
        <f>O41/'Revenue projections'!$C$7</f>
        <v>0.13525150553330278</v>
      </c>
      <c r="R41" s="29">
        <f>P41/'Revenue projections'!$C$7</f>
        <v>0.48690541991989</v>
      </c>
    </row>
    <row r="42" spans="2:18" ht="18" customHeight="1" x14ac:dyDescent="0.25">
      <c r="B42" s="41" t="s">
        <v>96</v>
      </c>
      <c r="C42" s="53"/>
      <c r="D42" s="53"/>
      <c r="E42" s="53"/>
      <c r="F42" s="24">
        <f t="shared" si="4"/>
        <v>0</v>
      </c>
      <c r="G42" s="24">
        <f t="shared" si="5"/>
        <v>0</v>
      </c>
      <c r="H42" s="56">
        <v>51300</v>
      </c>
      <c r="I42" s="25">
        <f t="shared" si="0"/>
        <v>5.203736952618606E-3</v>
      </c>
      <c r="J42" s="56">
        <v>1000</v>
      </c>
      <c r="K42" s="25">
        <f t="shared" si="1"/>
        <v>1.5701298497385732E-2</v>
      </c>
      <c r="L42" s="57"/>
      <c r="M42" s="24">
        <f t="shared" si="6"/>
        <v>8.1978254744873566E-2</v>
      </c>
      <c r="N42" s="24">
        <f t="shared" si="7"/>
        <v>0.29512171708154478</v>
      </c>
      <c r="O42" s="24">
        <f t="shared" si="2"/>
        <v>8.1978254744873566E-2</v>
      </c>
      <c r="P42" s="24">
        <f t="shared" si="3"/>
        <v>0.29512171708154478</v>
      </c>
      <c r="Q42" s="29">
        <f>O42/'Revenue projections'!$C$7</f>
        <v>3.0362316572175394E-3</v>
      </c>
      <c r="R42" s="29">
        <f>P42/'Revenue projections'!$C$7</f>
        <v>1.0930433965983141E-2</v>
      </c>
    </row>
    <row r="43" spans="2:18" ht="18" customHeight="1" x14ac:dyDescent="0.25">
      <c r="B43" s="41" t="s">
        <v>17</v>
      </c>
      <c r="C43" s="53"/>
      <c r="D43" s="53"/>
      <c r="E43" s="53"/>
      <c r="F43" s="24">
        <f t="shared" si="4"/>
        <v>0</v>
      </c>
      <c r="G43" s="24">
        <f t="shared" si="5"/>
        <v>0</v>
      </c>
      <c r="H43" s="56">
        <v>149100</v>
      </c>
      <c r="I43" s="25">
        <f t="shared" si="0"/>
        <v>1.5124311493868111E-2</v>
      </c>
      <c r="J43" s="56">
        <v>1092</v>
      </c>
      <c r="K43" s="25">
        <f t="shared" si="1"/>
        <v>1.7145817959145222E-2</v>
      </c>
      <c r="L43" s="57"/>
      <c r="M43" s="24">
        <f t="shared" si="6"/>
        <v>0.12654601324527415</v>
      </c>
      <c r="N43" s="24">
        <f t="shared" si="7"/>
        <v>0.45556564768298685</v>
      </c>
      <c r="O43" s="24">
        <f t="shared" si="2"/>
        <v>0.12654601324527415</v>
      </c>
      <c r="P43" s="24">
        <f t="shared" si="3"/>
        <v>0.45556564768298685</v>
      </c>
      <c r="Q43" s="29">
        <f>O43/'Revenue projections'!$C$7</f>
        <v>4.6868893794545985E-3</v>
      </c>
      <c r="R43" s="29">
        <f>P43/'Revenue projections'!$C$7</f>
        <v>1.687280176603655E-2</v>
      </c>
    </row>
    <row r="44" spans="2:18" ht="18" customHeight="1" x14ac:dyDescent="0.25">
      <c r="B44" s="41" t="s">
        <v>11</v>
      </c>
      <c r="C44" s="53"/>
      <c r="D44" s="53"/>
      <c r="E44" s="53"/>
      <c r="F44" s="24">
        <f t="shared" si="4"/>
        <v>0</v>
      </c>
      <c r="G44" s="24">
        <f t="shared" si="5"/>
        <v>0</v>
      </c>
      <c r="H44" s="56">
        <v>339400</v>
      </c>
      <c r="I44" s="25">
        <f t="shared" si="0"/>
        <v>3.4427842528630695E-2</v>
      </c>
      <c r="J44" s="56">
        <v>1435</v>
      </c>
      <c r="K44" s="25">
        <f t="shared" si="1"/>
        <v>2.2531363343748528E-2</v>
      </c>
      <c r="L44" s="57"/>
      <c r="M44" s="24">
        <f t="shared" si="6"/>
        <v>0.2233632322814661</v>
      </c>
      <c r="N44" s="24">
        <f t="shared" si="7"/>
        <v>0.80410763621327785</v>
      </c>
      <c r="O44" s="24">
        <f t="shared" si="2"/>
        <v>0.2233632322814661</v>
      </c>
      <c r="P44" s="24">
        <f t="shared" si="3"/>
        <v>0.80410763621327785</v>
      </c>
      <c r="Q44" s="29">
        <f>O44/'Revenue projections'!$C$7</f>
        <v>8.2727123067209661E-3</v>
      </c>
      <c r="R44" s="29">
        <f>P44/'Revenue projections'!$C$7</f>
        <v>2.9781764304195477E-2</v>
      </c>
    </row>
    <row r="45" spans="2:18" ht="18" customHeight="1" x14ac:dyDescent="0.25">
      <c r="B45" s="41" t="s">
        <v>97</v>
      </c>
      <c r="C45" s="53"/>
      <c r="D45" s="53"/>
      <c r="E45" s="53"/>
      <c r="F45" s="24">
        <f t="shared" si="4"/>
        <v>0</v>
      </c>
      <c r="G45" s="24">
        <f t="shared" si="5"/>
        <v>0</v>
      </c>
      <c r="H45" s="56">
        <v>245300</v>
      </c>
      <c r="I45" s="25">
        <f t="shared" si="0"/>
        <v>2.4882586247121714E-2</v>
      </c>
      <c r="J45" s="56">
        <v>1102</v>
      </c>
      <c r="K45" s="25">
        <f t="shared" si="1"/>
        <v>1.730283094411908E-2</v>
      </c>
      <c r="L45" s="57"/>
      <c r="M45" s="24">
        <f t="shared" si="6"/>
        <v>0.16542841485693766</v>
      </c>
      <c r="N45" s="24">
        <f t="shared" si="7"/>
        <v>0.59554229348497556</v>
      </c>
      <c r="O45" s="24">
        <f t="shared" si="2"/>
        <v>0.16542841485693766</v>
      </c>
      <c r="P45" s="24">
        <f t="shared" si="3"/>
        <v>0.59554229348497556</v>
      </c>
      <c r="Q45" s="29">
        <f>O45/'Revenue projections'!$C$7</f>
        <v>6.1269783280347278E-3</v>
      </c>
      <c r="R45" s="29">
        <f>P45/'Revenue projections'!$C$7</f>
        <v>2.2057121980925021E-2</v>
      </c>
    </row>
    <row r="46" spans="2:18" ht="18" customHeight="1" x14ac:dyDescent="0.25">
      <c r="B46" s="41" t="s">
        <v>23</v>
      </c>
      <c r="C46" s="53"/>
      <c r="D46" s="53"/>
      <c r="E46" s="53"/>
      <c r="F46" s="24">
        <f t="shared" si="4"/>
        <v>0</v>
      </c>
      <c r="G46" s="24">
        <f t="shared" si="5"/>
        <v>0</v>
      </c>
      <c r="H46" s="56">
        <v>736400</v>
      </c>
      <c r="I46" s="25">
        <f t="shared" si="0"/>
        <v>7.469847742511386E-2</v>
      </c>
      <c r="J46" s="56">
        <v>2318</v>
      </c>
      <c r="K46" s="25">
        <f t="shared" si="1"/>
        <v>3.639560991694013E-2</v>
      </c>
      <c r="L46" s="57"/>
      <c r="M46" s="24">
        <f t="shared" si="6"/>
        <v>0.43565099014334585</v>
      </c>
      <c r="N46" s="24">
        <f t="shared" si="7"/>
        <v>1.5683435645160448</v>
      </c>
      <c r="O46" s="24">
        <f t="shared" si="2"/>
        <v>0.43565099014334585</v>
      </c>
      <c r="P46" s="24">
        <f t="shared" si="3"/>
        <v>1.5683435645160448</v>
      </c>
      <c r="Q46" s="29">
        <f>O46/'Revenue projections'!$C$7</f>
        <v>1.6135221857160958E-2</v>
      </c>
      <c r="R46" s="29">
        <f>P46/'Revenue projections'!$C$7</f>
        <v>5.8086798685779435E-2</v>
      </c>
    </row>
    <row r="47" spans="2:18" ht="18" customHeight="1" x14ac:dyDescent="0.25">
      <c r="B47" s="13" t="s">
        <v>25</v>
      </c>
      <c r="C47" s="17"/>
      <c r="D47" s="17"/>
      <c r="E47" s="17"/>
      <c r="F47" s="26">
        <f>SUM(F13:F46)</f>
        <v>7.8429194670278868</v>
      </c>
      <c r="G47" s="26">
        <f>SUM(G13:G46)</f>
        <v>28.234510081300392</v>
      </c>
      <c r="H47" s="27">
        <f>SUM(H13:H46)</f>
        <v>9858300</v>
      </c>
      <c r="I47" s="28">
        <f>SUM(I13:I46)</f>
        <v>0.99999999999999989</v>
      </c>
      <c r="J47" s="27">
        <f>SUM(J13:J46)</f>
        <v>63689</v>
      </c>
      <c r="K47" s="28">
        <f t="shared" ref="K47" si="8">SUM(K13:K46)</f>
        <v>1</v>
      </c>
      <c r="L47" s="26"/>
      <c r="M47" s="26">
        <f t="shared" ref="M47" si="9">IFERROR($M$12 * I47, 0)</f>
        <v>7.8429194670278868</v>
      </c>
      <c r="N47" s="26">
        <f>SUM(N13:N46)</f>
        <v>28.234510081300396</v>
      </c>
      <c r="O47" s="26">
        <f>SUM(O13:O46)</f>
        <v>15.685838934055777</v>
      </c>
      <c r="P47" s="26">
        <f>SUM(P13:P46)</f>
        <v>56.469020162600785</v>
      </c>
      <c r="Q47" s="26">
        <f t="shared" ref="Q47:R47" si="10">SUM(Q13:Q46)</f>
        <v>0.58095699755762131</v>
      </c>
      <c r="R47" s="26">
        <f t="shared" si="10"/>
        <v>2.0914451912074368</v>
      </c>
    </row>
    <row r="48" spans="2:18" ht="18" customHeight="1" x14ac:dyDescent="0.25">
      <c r="B48" s="13"/>
      <c r="C48" s="17"/>
      <c r="D48" s="17"/>
      <c r="E48" s="17"/>
      <c r="F48" s="26"/>
      <c r="G48" s="26"/>
      <c r="H48" s="27"/>
      <c r="I48" s="28"/>
      <c r="J48" s="28"/>
      <c r="K48" s="28"/>
      <c r="L48" s="26"/>
      <c r="M48" s="26"/>
      <c r="N48" s="26"/>
      <c r="O48" s="26"/>
      <c r="P48" s="26"/>
      <c r="Q48" s="26"/>
      <c r="R48" s="26"/>
    </row>
    <row r="49" spans="1:46" ht="18" customHeight="1" x14ac:dyDescent="0.25">
      <c r="B49" s="13"/>
      <c r="C49" s="17"/>
      <c r="D49" s="17"/>
      <c r="E49" s="17"/>
      <c r="F49" s="26"/>
      <c r="G49" s="26"/>
      <c r="H49" s="27"/>
      <c r="I49" s="28"/>
      <c r="J49" s="28"/>
      <c r="K49" s="28"/>
      <c r="L49" s="26"/>
      <c r="M49" s="26"/>
      <c r="N49" s="26"/>
      <c r="O49" s="26"/>
      <c r="P49" s="26"/>
      <c r="Q49" s="26"/>
      <c r="R49" s="26"/>
    </row>
    <row r="50" spans="1:46" ht="18" customHeight="1" x14ac:dyDescent="0.25">
      <c r="B50" s="13"/>
      <c r="C50" s="17"/>
      <c r="D50" s="17"/>
      <c r="E50" s="17"/>
      <c r="F50" s="26"/>
      <c r="G50" s="26"/>
      <c r="H50" s="27"/>
      <c r="I50" s="28"/>
      <c r="J50" s="28"/>
      <c r="K50" s="28"/>
      <c r="L50" s="26"/>
      <c r="M50" s="26"/>
      <c r="N50" s="26"/>
      <c r="O50" s="26"/>
      <c r="P50" s="26"/>
      <c r="Q50" s="26"/>
      <c r="R50" s="26"/>
    </row>
    <row r="51" spans="1:46" ht="15" x14ac:dyDescent="0.25">
      <c r="B51" s="13"/>
      <c r="C51" s="17"/>
      <c r="D51" s="17"/>
      <c r="E51" s="17"/>
      <c r="F51" s="26"/>
      <c r="G51" s="26"/>
      <c r="H51" s="27"/>
      <c r="I51" s="28"/>
      <c r="J51" s="28"/>
      <c r="K51" s="28"/>
      <c r="L51" s="26"/>
      <c r="M51" s="26"/>
      <c r="N51" s="26"/>
      <c r="O51" s="26"/>
      <c r="P51" s="26"/>
    </row>
    <row r="52" spans="1:46" ht="34.5" customHeight="1" x14ac:dyDescent="0.25"/>
    <row r="53" spans="1:46" ht="34.5" customHeight="1" x14ac:dyDescent="0.25"/>
    <row r="54" spans="1:46" ht="34.5" customHeight="1" x14ac:dyDescent="0.25"/>
    <row r="55" spans="1:46" ht="34.5" customHeight="1" x14ac:dyDescent="0.25"/>
    <row r="56" spans="1:46" ht="34.5" customHeight="1" x14ac:dyDescent="0.25"/>
    <row r="57" spans="1:46" ht="34.5" customHeight="1" x14ac:dyDescent="0.25"/>
    <row r="58" spans="1:46" ht="34.5" customHeight="1" x14ac:dyDescent="0.25"/>
    <row r="60" spans="1:46" s="65" customFormat="1" ht="18.75" x14ac:dyDescent="0.3">
      <c r="A60" s="63"/>
      <c r="B60" s="64" t="s">
        <v>98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row>
    <row r="62" spans="1:46" ht="18" customHeight="1" x14ac:dyDescent="0.25">
      <c r="B62" t="s">
        <v>99</v>
      </c>
      <c r="C62" s="53">
        <v>1</v>
      </c>
      <c r="D62"/>
      <c r="E62" s="70" t="s">
        <v>100</v>
      </c>
      <c r="F62" s="70"/>
    </row>
    <row r="63" spans="1:46" ht="18" customHeight="1" x14ac:dyDescent="0.25">
      <c r="C63"/>
      <c r="D63"/>
      <c r="E63" s="11">
        <v>1</v>
      </c>
      <c r="F63" s="9" t="str">
        <f>'Revenue projections'!B67</f>
        <v>Cultural institution share of gross royalty</v>
      </c>
    </row>
    <row r="64" spans="1:46" ht="18" customHeight="1" x14ac:dyDescent="0.25">
      <c r="C64"/>
      <c r="D64"/>
      <c r="E64" s="11">
        <v>2</v>
      </c>
      <c r="F64" s="9" t="str">
        <f>'Revenue projections'!B68</f>
        <v>Cultural institution share of central government share of 94%</v>
      </c>
    </row>
    <row r="65" spans="2:4" ht="18" customHeight="1" x14ac:dyDescent="0.25">
      <c r="C65"/>
      <c r="D65"/>
    </row>
    <row r="66" spans="2:4" ht="45" customHeight="1" x14ac:dyDescent="0.25">
      <c r="C66" s="20" t="s">
        <v>83</v>
      </c>
      <c r="D66" s="20" t="s">
        <v>84</v>
      </c>
    </row>
    <row r="67" spans="2:4" ht="18" customHeight="1" x14ac:dyDescent="0.25">
      <c r="B67" t="s">
        <v>101</v>
      </c>
      <c r="C67" s="24" cm="1">
        <f t="array" ref="C67">IF(C62 = 1, INDEX('Revenue projections'!D76:D78, 'SN distribution'!B3), INDEX('Revenue projections'!D89:D91, 'SN distribution'!B3))</f>
        <v>2.6143064890092962</v>
      </c>
      <c r="D67" s="24" cm="1">
        <f t="array" ref="D67">IF(C62 = 1, INDEX('Revenue projections'!D132:D134, 'SN distribution'!B3), INDEX('Revenue projections'!D145:D147, 'SN distribution'!B3))</f>
        <v>9.4115033604334659</v>
      </c>
    </row>
  </sheetData>
  <sortState xmlns:xlrd2="http://schemas.microsoft.com/office/spreadsheetml/2017/richdata2" ref="B13:R46">
    <sortCondition ref="B13:B46"/>
  </sortState>
  <mergeCells count="2">
    <mergeCell ref="E62:F62"/>
    <mergeCell ref="D3:E3"/>
  </mergeCells>
  <pageMargins left="0.7" right="0.7" top="0.75" bottom="0.75" header="0.3" footer="0.3"/>
  <pageSetup paperSize="9" scale="84"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45B1FFA-7E0F-4E3A-ABF1-F73BA562AAE7}">
          <x14:formula1>
            <xm:f>'Revenue projections'!$C$10:$C$12</xm:f>
          </x14:formula1>
          <xm:sqref>B3</xm:sqref>
        </x14:dataValidation>
        <x14:dataValidation type="list" allowBlank="1" showInputMessage="1" showErrorMessage="1" xr:uid="{82017B2B-B922-419F-AC8F-4C85B8882F49}">
          <x14:formula1>
            <xm:f>'Revenue projections'!$D$67:$D$68</xm:f>
          </x14:formula1>
          <xm:sqref>C62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32CCD-7660-41EB-93DD-4A625802D79C}">
  <sheetPr>
    <tabColor rgb="FF527287"/>
  </sheetPr>
  <dimension ref="A1:AO38"/>
  <sheetViews>
    <sheetView zoomScale="90" zoomScaleNormal="90" workbookViewId="0">
      <selection activeCell="B8" sqref="B8"/>
    </sheetView>
  </sheetViews>
  <sheetFormatPr defaultRowHeight="15" x14ac:dyDescent="0.25"/>
  <cols>
    <col min="1" max="1" width="5.28515625" customWidth="1"/>
    <col min="2" max="2" width="21.5703125" customWidth="1"/>
    <col min="3" max="9" width="19.7109375" customWidth="1"/>
    <col min="10" max="10" width="6" customWidth="1"/>
    <col min="11" max="14" width="13.28515625" customWidth="1"/>
  </cols>
  <sheetData>
    <row r="1" spans="1:41" s="65" customFormat="1" ht="18.75" x14ac:dyDescent="0.3">
      <c r="A1" s="63"/>
      <c r="B1" s="64" t="s">
        <v>129</v>
      </c>
      <c r="C1" s="64"/>
      <c r="D1" s="64"/>
      <c r="E1" s="64"/>
      <c r="F1" s="64"/>
      <c r="G1" s="64"/>
      <c r="H1" s="64"/>
      <c r="I1" s="64"/>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3" spans="1:41" ht="90" x14ac:dyDescent="0.25">
      <c r="C3" s="20" t="s">
        <v>118</v>
      </c>
      <c r="D3" s="20" t="s">
        <v>119</v>
      </c>
      <c r="E3" s="20" t="s">
        <v>120</v>
      </c>
      <c r="F3" s="20" t="s">
        <v>121</v>
      </c>
      <c r="G3" s="20" t="s">
        <v>122</v>
      </c>
      <c r="H3" s="20" t="s">
        <v>123</v>
      </c>
      <c r="I3" s="20" t="s">
        <v>124</v>
      </c>
      <c r="K3" s="20" t="s">
        <v>125</v>
      </c>
      <c r="L3" s="20" t="s">
        <v>126</v>
      </c>
      <c r="M3" s="20" t="s">
        <v>127</v>
      </c>
      <c r="N3" s="20" t="s">
        <v>128</v>
      </c>
    </row>
    <row r="4" spans="1:41" x14ac:dyDescent="0.25">
      <c r="B4" t="str">
        <f>'SN distribution'!B13</f>
        <v>Adjumani</v>
      </c>
      <c r="C4" s="59">
        <v>2.0433409999999999</v>
      </c>
      <c r="D4" s="59">
        <v>9.3045770000000001</v>
      </c>
      <c r="E4" s="59">
        <v>25.360002999999999</v>
      </c>
      <c r="F4" s="59">
        <v>28.485838000000001</v>
      </c>
      <c r="G4" s="59">
        <f>SUM(D4:F4)</f>
        <v>63.150418000000002</v>
      </c>
      <c r="H4" s="59">
        <v>5.3508940000000003</v>
      </c>
      <c r="I4" s="59">
        <f>C4 + G4 + H4</f>
        <v>70.544652999999997</v>
      </c>
      <c r="K4" s="60">
        <f>IFERROR('SN distribution'!$R13/'LG finances'!C4, "-")</f>
        <v>1.8127029579152291E-2</v>
      </c>
      <c r="L4" s="60">
        <f>IFERROR('SN distribution'!$R13/'LG finances'!G4, "-")</f>
        <v>5.8653139472955855E-4</v>
      </c>
      <c r="M4" s="60">
        <f>IFERROR('SN distribution'!$R13/'LG finances'!H4, "-")</f>
        <v>6.9221522136851564E-3</v>
      </c>
      <c r="N4" s="60">
        <f>IFERROR('SN distribution'!$R13/'LG finances'!I4, "-")</f>
        <v>5.250532984731617E-4</v>
      </c>
    </row>
    <row r="5" spans="1:41" x14ac:dyDescent="0.25">
      <c r="B5" t="str">
        <f>'SN distribution'!B14</f>
        <v>Amuru</v>
      </c>
      <c r="C5" s="59">
        <v>0.24062600000000001</v>
      </c>
      <c r="D5" s="59">
        <v>4.6856859999999996</v>
      </c>
      <c r="E5" s="59">
        <v>18.162317000000002</v>
      </c>
      <c r="F5" s="59">
        <v>2.2442959999999998</v>
      </c>
      <c r="G5" s="59">
        <f t="shared" ref="G5:G37" si="0">SUM(D5:F5)</f>
        <v>25.092299000000001</v>
      </c>
      <c r="H5" s="59">
        <v>4.024248</v>
      </c>
      <c r="I5" s="59">
        <f t="shared" ref="I5:I37" si="1">C5 + G5 + H5</f>
        <v>29.357173</v>
      </c>
      <c r="K5" s="60">
        <f>IFERROR('SN distribution'!$R14/'LG finances'!C5, "-")</f>
        <v>0.17251466055750345</v>
      </c>
      <c r="L5" s="60">
        <f>IFERROR('SN distribution'!$R14/'LG finances'!G5, "-")</f>
        <v>1.6543527044417022E-3</v>
      </c>
      <c r="M5" s="60">
        <f>IFERROR('SN distribution'!$R14/'LG finances'!H5, "-")</f>
        <v>1.0315346547059184E-2</v>
      </c>
      <c r="N5" s="60">
        <f>IFERROR('SN distribution'!$R14/'LG finances'!I5, "-")</f>
        <v>1.4140160127581027E-3</v>
      </c>
    </row>
    <row r="6" spans="1:41" x14ac:dyDescent="0.25">
      <c r="B6" t="str">
        <f>'SN distribution'!B15</f>
        <v>Arua</v>
      </c>
      <c r="C6" s="59">
        <v>0.42614600000000002</v>
      </c>
      <c r="D6" s="59">
        <v>3.6030030000000002</v>
      </c>
      <c r="E6" s="59">
        <v>19.242934000000002</v>
      </c>
      <c r="F6" s="59">
        <v>13.148925999999999</v>
      </c>
      <c r="G6" s="59">
        <f t="shared" si="0"/>
        <v>35.994863000000002</v>
      </c>
      <c r="H6" s="59">
        <v>1.5430619999999999</v>
      </c>
      <c r="I6" s="59">
        <f t="shared" si="1"/>
        <v>37.964071000000004</v>
      </c>
      <c r="K6" s="60">
        <f>IFERROR('SN distribution'!$R15/'LG finances'!C6, "-")</f>
        <v>8.2801817639861358E-2</v>
      </c>
      <c r="L6" s="60">
        <f>IFERROR('SN distribution'!$R15/'LG finances'!G6, "-")</f>
        <v>9.8029719907411113E-4</v>
      </c>
      <c r="M6" s="60">
        <f>IFERROR('SN distribution'!$R15/'LG finances'!H6, "-")</f>
        <v>2.2867301106472948E-2</v>
      </c>
      <c r="N6" s="60">
        <f>IFERROR('SN distribution'!$R15/'LG finances'!I6, "-")</f>
        <v>9.2944888286496878E-4</v>
      </c>
    </row>
    <row r="7" spans="1:41" x14ac:dyDescent="0.25">
      <c r="B7" t="str">
        <f>'SN distribution'!B16</f>
        <v>Buhweju</v>
      </c>
      <c r="C7" s="59">
        <v>0.15520100000000001</v>
      </c>
      <c r="D7" s="59">
        <v>2.590894</v>
      </c>
      <c r="E7" s="59">
        <v>15.675717000000001</v>
      </c>
      <c r="F7" s="59">
        <v>1.4180790000000001</v>
      </c>
      <c r="G7" s="59">
        <f t="shared" si="0"/>
        <v>19.68469</v>
      </c>
      <c r="H7" s="59">
        <v>0.156</v>
      </c>
      <c r="I7" s="59">
        <f t="shared" si="1"/>
        <v>19.995891</v>
      </c>
      <c r="K7" s="60">
        <f>IFERROR('SN distribution'!$R16/'LG finances'!C7, "-")</f>
        <v>9.171545784638073E-2</v>
      </c>
      <c r="L7" s="60">
        <f>IFERROR('SN distribution'!$R16/'LG finances'!G7, "-")</f>
        <v>7.2311683715700549E-4</v>
      </c>
      <c r="M7" s="60">
        <f>IFERROR('SN distribution'!$R16/'LG finances'!H7, "-")</f>
        <v>9.1245710084718809E-2</v>
      </c>
      <c r="N7" s="60">
        <f>IFERROR('SN distribution'!$R16/'LG finances'!I7, "-")</f>
        <v>7.1186279087119119E-4</v>
      </c>
    </row>
    <row r="8" spans="1:41" x14ac:dyDescent="0.25">
      <c r="B8" t="str">
        <f>'SN distribution'!B17</f>
        <v>Buliisa</v>
      </c>
      <c r="C8" s="59">
        <v>0.20364499999999999</v>
      </c>
      <c r="D8" s="59">
        <v>2.0830389999999999</v>
      </c>
      <c r="E8" s="59">
        <v>13.931400999999999</v>
      </c>
      <c r="F8" s="59">
        <v>2.478529</v>
      </c>
      <c r="G8" s="59">
        <f t="shared" si="0"/>
        <v>18.492969000000002</v>
      </c>
      <c r="H8" s="59">
        <v>1.0660000000000001</v>
      </c>
      <c r="I8" s="59">
        <f t="shared" si="1"/>
        <v>19.762614000000003</v>
      </c>
      <c r="K8" s="60">
        <f>IFERROR('SN distribution'!$R17/'LG finances'!C8, "-")</f>
        <v>2.2183377082536544</v>
      </c>
      <c r="L8" s="60">
        <f>IFERROR('SN distribution'!$R17/'LG finances'!G8, "-")</f>
        <v>2.4428385869100597E-2</v>
      </c>
      <c r="M8" s="60">
        <f>IFERROR('SN distribution'!$R17/'LG finances'!H8, "-")</f>
        <v>0.42378366097309139</v>
      </c>
      <c r="N8" s="60">
        <f>IFERROR('SN distribution'!$R17/'LG finances'!I8, "-")</f>
        <v>2.2858989331943406E-2</v>
      </c>
    </row>
    <row r="9" spans="1:41" x14ac:dyDescent="0.25">
      <c r="B9" t="str">
        <f>'SN distribution'!B18</f>
        <v>Bundibugyo</v>
      </c>
      <c r="C9" s="59">
        <v>0.75622299999999998</v>
      </c>
      <c r="D9" s="59">
        <v>4.5303899999999997</v>
      </c>
      <c r="E9" s="59">
        <v>31.556035999999999</v>
      </c>
      <c r="F9" s="59">
        <v>1.6048979999999999</v>
      </c>
      <c r="G9" s="59">
        <f t="shared" si="0"/>
        <v>37.691323999999994</v>
      </c>
      <c r="H9" s="59">
        <v>0.70985600000000004</v>
      </c>
      <c r="I9" s="59">
        <f t="shared" si="1"/>
        <v>39.157402999999995</v>
      </c>
      <c r="K9" s="60">
        <f>IFERROR('SN distribution'!$R18/'LG finances'!C9, "-")</f>
        <v>2.8696444578076637E-2</v>
      </c>
      <c r="L9" s="60">
        <f>IFERROR('SN distribution'!$R18/'LG finances'!G9, "-")</f>
        <v>5.7575349192208925E-4</v>
      </c>
      <c r="M9" s="60">
        <f>IFERROR('SN distribution'!$R18/'LG finances'!H9, "-")</f>
        <v>3.057086424312374E-2</v>
      </c>
      <c r="N9" s="60">
        <f>IFERROR('SN distribution'!$R18/'LG finances'!I9, "-")</f>
        <v>5.5419690136669305E-4</v>
      </c>
    </row>
    <row r="10" spans="1:41" x14ac:dyDescent="0.25">
      <c r="B10" t="str">
        <f>'SN distribution'!B19</f>
        <v>Bunyangabu</v>
      </c>
      <c r="C10" s="59">
        <v>0.48759799999999998</v>
      </c>
      <c r="D10" s="59">
        <v>3.418946</v>
      </c>
      <c r="E10" s="59">
        <v>16.565189</v>
      </c>
      <c r="F10" s="59">
        <v>1.6399349999999999</v>
      </c>
      <c r="G10" s="59">
        <f t="shared" si="0"/>
        <v>21.624070000000003</v>
      </c>
      <c r="H10" s="59">
        <v>0.40995399999999999</v>
      </c>
      <c r="I10" s="59">
        <f t="shared" si="1"/>
        <v>22.521622000000001</v>
      </c>
      <c r="K10" s="60">
        <f>IFERROR('SN distribution'!$R19/'LG finances'!C10, "-")</f>
        <v>3.0552749057504113E-2</v>
      </c>
      <c r="L10" s="60">
        <f>IFERROR('SN distribution'!$R19/'LG finances'!G10, "-")</f>
        <v>6.8892948158884456E-4</v>
      </c>
      <c r="M10" s="60">
        <f>IFERROR('SN distribution'!$R19/'LG finances'!H10, "-")</f>
        <v>3.6339343767693183E-2</v>
      </c>
      <c r="N10" s="60">
        <f>IFERROR('SN distribution'!$R19/'LG finances'!I10, "-")</f>
        <v>6.6147364230431042E-4</v>
      </c>
    </row>
    <row r="11" spans="1:41" x14ac:dyDescent="0.25">
      <c r="B11" t="str">
        <f>'SN distribution'!B20</f>
        <v>Bushenyi</v>
      </c>
      <c r="C11" s="59">
        <v>0.67980499999999999</v>
      </c>
      <c r="D11" s="59">
        <v>4.0709299999999997</v>
      </c>
      <c r="E11" s="59">
        <v>28.394515999999999</v>
      </c>
      <c r="F11" s="59">
        <v>1.817475</v>
      </c>
      <c r="G11" s="59">
        <f t="shared" si="0"/>
        <v>34.282921000000002</v>
      </c>
      <c r="H11" s="59">
        <v>0.47921000000000002</v>
      </c>
      <c r="I11" s="59">
        <f t="shared" si="1"/>
        <v>35.441936000000005</v>
      </c>
      <c r="K11" s="60">
        <f>IFERROR('SN distribution'!$R20/'LG finances'!C11, "-")</f>
        <v>2.9884470290360097E-2</v>
      </c>
      <c r="L11" s="60">
        <f>IFERROR('SN distribution'!$R20/'LG finances'!G11, "-")</f>
        <v>5.9258697138841359E-4</v>
      </c>
      <c r="M11" s="60">
        <f>IFERROR('SN distribution'!$R20/'LG finances'!H11, "-")</f>
        <v>4.239396574724702E-2</v>
      </c>
      <c r="N11" s="60">
        <f>IFERROR('SN distribution'!$R20/'LG finances'!I11, "-")</f>
        <v>5.7320831248434739E-4</v>
      </c>
    </row>
    <row r="12" spans="1:41" x14ac:dyDescent="0.25">
      <c r="B12" t="str">
        <f>'SN distribution'!B21</f>
        <v>Hoima</v>
      </c>
      <c r="C12" s="59">
        <v>1.345235</v>
      </c>
      <c r="D12" s="59">
        <v>3.1355270000000002</v>
      </c>
      <c r="E12" s="59">
        <v>18.081247000000001</v>
      </c>
      <c r="F12" s="59">
        <v>13.229224</v>
      </c>
      <c r="G12" s="59">
        <f t="shared" si="0"/>
        <v>34.445998000000003</v>
      </c>
      <c r="H12" s="59">
        <v>0.56946399999999997</v>
      </c>
      <c r="I12" s="59">
        <f t="shared" si="1"/>
        <v>36.360697000000002</v>
      </c>
      <c r="K12" s="60">
        <f>IFERROR('SN distribution'!$R21/'LG finances'!C12, "-")</f>
        <v>5.3212263559155953E-2</v>
      </c>
      <c r="L12" s="60">
        <f>IFERROR('SN distribution'!$R21/'LG finances'!G12, "-")</f>
        <v>2.078122380689947E-3</v>
      </c>
      <c r="M12" s="60">
        <f>IFERROR('SN distribution'!$R21/'LG finances'!H12, "-")</f>
        <v>0.1257024137943771</v>
      </c>
      <c r="N12" s="60">
        <f>IFERROR('SN distribution'!$R21/'LG finances'!I12, "-")</f>
        <v>1.9686916169126558E-3</v>
      </c>
    </row>
    <row r="13" spans="1:41" x14ac:dyDescent="0.25">
      <c r="B13" t="str">
        <f>'SN distribution'!B22</f>
        <v>Hoima City</v>
      </c>
      <c r="C13" s="59">
        <v>2.1342319999999999</v>
      </c>
      <c r="D13" s="59">
        <v>20.761614000000002</v>
      </c>
      <c r="E13" s="59">
        <v>8.893224</v>
      </c>
      <c r="F13" s="59">
        <v>0.68086500000000005</v>
      </c>
      <c r="G13" s="59">
        <f t="shared" si="0"/>
        <v>30.335703000000002</v>
      </c>
      <c r="H13" s="59">
        <v>0</v>
      </c>
      <c r="I13" s="59">
        <f t="shared" si="1"/>
        <v>32.469935</v>
      </c>
      <c r="K13" s="60">
        <f>IFERROR('SN distribution'!$R22/'LG finances'!C13, "-")</f>
        <v>3.2041980566060987E-2</v>
      </c>
      <c r="L13" s="60">
        <f>IFERROR('SN distribution'!$R22/'LG finances'!G13, "-")</f>
        <v>2.2542751116552489E-3</v>
      </c>
      <c r="M13" s="60" t="str">
        <f>IFERROR('SN distribution'!$R22/'LG finances'!H13, "-")</f>
        <v>-</v>
      </c>
      <c r="N13" s="60">
        <f>IFERROR('SN distribution'!$R22/'LG finances'!I13, "-")</f>
        <v>2.1061027768446558E-3</v>
      </c>
    </row>
    <row r="14" spans="1:41" x14ac:dyDescent="0.25">
      <c r="B14" t="str">
        <f>'SN distribution'!B23</f>
        <v>Ibanda</v>
      </c>
      <c r="C14" s="59">
        <v>0.73436900000000005</v>
      </c>
      <c r="D14" s="59">
        <v>3.7512430000000001</v>
      </c>
      <c r="E14" s="59">
        <v>20.182442000000002</v>
      </c>
      <c r="F14" s="59">
        <v>1.343888</v>
      </c>
      <c r="G14" s="59">
        <f t="shared" si="0"/>
        <v>25.277573</v>
      </c>
      <c r="H14" s="59">
        <v>0.31141799999999997</v>
      </c>
      <c r="I14" s="59">
        <f t="shared" si="1"/>
        <v>26.323360000000001</v>
      </c>
      <c r="K14" s="60">
        <f>IFERROR('SN distribution'!$R23/'LG finances'!C14, "-")</f>
        <v>3.1516980417676442E-2</v>
      </c>
      <c r="L14" s="60">
        <f>IFERROR('SN distribution'!$R23/'LG finances'!G14, "-")</f>
        <v>9.1563748593856832E-4</v>
      </c>
      <c r="M14" s="60">
        <f>IFERROR('SN distribution'!$R23/'LG finances'!H14, "-")</f>
        <v>7.4321630067461217E-2</v>
      </c>
      <c r="N14" s="60">
        <f>IFERROR('SN distribution'!$R23/'LG finances'!I14, "-")</f>
        <v>8.7926060321891404E-4</v>
      </c>
    </row>
    <row r="15" spans="1:41" x14ac:dyDescent="0.25">
      <c r="B15" t="str">
        <f>'SN distribution'!B24</f>
        <v>Kabarole</v>
      </c>
      <c r="C15" s="59">
        <v>0.82985299999999995</v>
      </c>
      <c r="D15" s="59">
        <v>5.048108</v>
      </c>
      <c r="E15" s="59">
        <v>20.998353999999999</v>
      </c>
      <c r="F15" s="59">
        <v>1.6342970000000001</v>
      </c>
      <c r="G15" s="59">
        <f t="shared" si="0"/>
        <v>27.680758999999998</v>
      </c>
      <c r="H15" s="59">
        <v>0.29691499999999998</v>
      </c>
      <c r="I15" s="59">
        <f t="shared" si="1"/>
        <v>28.807526999999997</v>
      </c>
      <c r="K15" s="60">
        <f>IFERROR('SN distribution'!$R24/'LG finances'!C15, "-")</f>
        <v>3.2676130281779944E-2</v>
      </c>
      <c r="L15" s="60">
        <f>IFERROR('SN distribution'!$R24/'LG finances'!G15, "-")</f>
        <v>9.7961131566970156E-4</v>
      </c>
      <c r="M15" s="60">
        <f>IFERROR('SN distribution'!$R24/'LG finances'!H15, "-")</f>
        <v>9.1327096114126705E-2</v>
      </c>
      <c r="N15" s="60">
        <f>IFERROR('SN distribution'!$R24/'LG finances'!I15, "-")</f>
        <v>9.4129512549709436E-4</v>
      </c>
    </row>
    <row r="16" spans="1:41" x14ac:dyDescent="0.25">
      <c r="B16" t="str">
        <f>'SN distribution'!B25</f>
        <v>Kagadi</v>
      </c>
      <c r="C16" s="59">
        <v>0.8972</v>
      </c>
      <c r="D16" s="59">
        <v>5.1375950000000001</v>
      </c>
      <c r="E16" s="59">
        <v>30.562148000000001</v>
      </c>
      <c r="F16" s="59">
        <v>10.256365000000001</v>
      </c>
      <c r="G16" s="59">
        <f t="shared" si="0"/>
        <v>45.956108</v>
      </c>
      <c r="H16" s="59">
        <v>0.17499999999999999</v>
      </c>
      <c r="I16" s="59">
        <f t="shared" si="1"/>
        <v>47.028307999999996</v>
      </c>
      <c r="K16" s="60">
        <f>IFERROR('SN distribution'!$R25/'LG finances'!C16, "-")</f>
        <v>2.8547546541894672E-2</v>
      </c>
      <c r="L16" s="60">
        <f>IFERROR('SN distribution'!$R25/'LG finances'!G16, "-")</f>
        <v>5.5733307001080024E-4</v>
      </c>
      <c r="M16" s="60">
        <f>IFERROR('SN distribution'!$R25/'LG finances'!H16, "-")</f>
        <v>0.14635919289935942</v>
      </c>
      <c r="N16" s="60">
        <f>IFERROR('SN distribution'!$R25/'LG finances'!I16, "-")</f>
        <v>5.4462641431598819E-4</v>
      </c>
    </row>
    <row r="17" spans="2:14" x14ac:dyDescent="0.25">
      <c r="B17" t="str">
        <f>'SN distribution'!B26</f>
        <v>Kakumiro</v>
      </c>
      <c r="C17" s="59">
        <v>0.46650900000000001</v>
      </c>
      <c r="D17" s="59">
        <v>4.2555120000000004</v>
      </c>
      <c r="E17" s="59">
        <v>23.204848999999999</v>
      </c>
      <c r="F17" s="59">
        <v>3.0195850000000002</v>
      </c>
      <c r="G17" s="59">
        <f t="shared" si="0"/>
        <v>30.479945999999998</v>
      </c>
      <c r="H17" s="59">
        <v>0.424512</v>
      </c>
      <c r="I17" s="59">
        <f t="shared" si="1"/>
        <v>31.370966999999997</v>
      </c>
      <c r="K17" s="60">
        <f>IFERROR('SN distribution'!$R26/'LG finances'!C17, "-")</f>
        <v>9.2917293215309046E-2</v>
      </c>
      <c r="L17" s="60">
        <f>IFERROR('SN distribution'!$R26/'LG finances'!G17, "-")</f>
        <v>1.4221401028919347E-3</v>
      </c>
      <c r="M17" s="60">
        <f>IFERROR('SN distribution'!$R26/'LG finances'!H17, "-")</f>
        <v>0.10210960712672577</v>
      </c>
      <c r="N17" s="60">
        <f>IFERROR('SN distribution'!$R26/'LG finances'!I17, "-")</f>
        <v>1.3817474463117638E-3</v>
      </c>
    </row>
    <row r="18" spans="2:14" x14ac:dyDescent="0.25">
      <c r="B18" t="str">
        <f>'SN distribution'!B27</f>
        <v>Kamwenge</v>
      </c>
      <c r="C18" s="59">
        <v>0.91867699999999997</v>
      </c>
      <c r="D18" s="59">
        <v>9.1994179999999997</v>
      </c>
      <c r="E18" s="59">
        <v>26.041162</v>
      </c>
      <c r="F18" s="59">
        <v>9.6392950000000006</v>
      </c>
      <c r="G18" s="59">
        <f t="shared" si="0"/>
        <v>44.879874999999998</v>
      </c>
      <c r="H18" s="59">
        <v>1.3407340000000001</v>
      </c>
      <c r="I18" s="59">
        <f t="shared" si="1"/>
        <v>47.139285999999998</v>
      </c>
      <c r="K18" s="60">
        <f>IFERROR('SN distribution'!$R27/'LG finances'!C18, "-")</f>
        <v>3.588410146517091E-2</v>
      </c>
      <c r="L18" s="60">
        <f>IFERROR('SN distribution'!$R27/'LG finances'!G18, "-")</f>
        <v>7.3453633018627648E-4</v>
      </c>
      <c r="M18" s="60">
        <f>IFERROR('SN distribution'!$R27/'LG finances'!H18, "-")</f>
        <v>2.458794860257054E-2</v>
      </c>
      <c r="N18" s="60">
        <f>IFERROR('SN distribution'!$R27/'LG finances'!I18, "-")</f>
        <v>6.9932961398097571E-4</v>
      </c>
    </row>
    <row r="19" spans="2:14" x14ac:dyDescent="0.25">
      <c r="B19" t="str">
        <f>'SN distribution'!B28</f>
        <v>Kanungu</v>
      </c>
      <c r="C19" s="59">
        <v>1.7668410000000001</v>
      </c>
      <c r="D19" s="59">
        <v>4.5738250000000003</v>
      </c>
      <c r="E19" s="59">
        <v>35.200409999999998</v>
      </c>
      <c r="F19" s="59">
        <v>2.6083970000000001</v>
      </c>
      <c r="G19" s="59">
        <f t="shared" si="0"/>
        <v>42.382632000000001</v>
      </c>
      <c r="H19" s="59">
        <v>1.4558279999999999</v>
      </c>
      <c r="I19" s="59">
        <f t="shared" si="1"/>
        <v>45.605300999999997</v>
      </c>
      <c r="K19" s="60">
        <f>IFERROR('SN distribution'!$R28/'LG finances'!C19, "-")</f>
        <v>1.4475925723689416E-2</v>
      </c>
      <c r="L19" s="60">
        <f>IFERROR('SN distribution'!$R28/'LG finances'!G19, "-")</f>
        <v>6.0347028663932756E-4</v>
      </c>
      <c r="M19" s="60">
        <f>IFERROR('SN distribution'!$R28/'LG finances'!H19, "-")</f>
        <v>1.7568462127098214E-2</v>
      </c>
      <c r="N19" s="60">
        <f>IFERROR('SN distribution'!$R28/'LG finances'!I19, "-")</f>
        <v>5.6082645045077407E-4</v>
      </c>
    </row>
    <row r="20" spans="2:14" x14ac:dyDescent="0.25">
      <c r="B20" t="str">
        <f>'SN distribution'!B29</f>
        <v>Kasese</v>
      </c>
      <c r="C20" s="59">
        <v>3.9557890000000002</v>
      </c>
      <c r="D20" s="59">
        <v>8.3181560000000001</v>
      </c>
      <c r="E20" s="59">
        <v>61.004942</v>
      </c>
      <c r="F20" s="59">
        <v>7.9693350000000001</v>
      </c>
      <c r="G20" s="59">
        <f t="shared" si="0"/>
        <v>77.292433000000003</v>
      </c>
      <c r="H20" s="59">
        <v>5.2146280000000003</v>
      </c>
      <c r="I20" s="59">
        <f t="shared" si="1"/>
        <v>86.462850000000003</v>
      </c>
      <c r="K20" s="60">
        <f>IFERROR('SN distribution'!$R29/'LG finances'!C20, "-")</f>
        <v>1.7198495740925124E-2</v>
      </c>
      <c r="L20" s="60">
        <f>IFERROR('SN distribution'!$R29/'LG finances'!G20, "-")</f>
        <v>8.802106186578246E-4</v>
      </c>
      <c r="M20" s="60">
        <f>IFERROR('SN distribution'!$R29/'LG finances'!H20, "-")</f>
        <v>1.3046687178548204E-2</v>
      </c>
      <c r="N20" s="60">
        <f>IFERROR('SN distribution'!$R29/'LG finances'!I20, "-")</f>
        <v>7.8685377903340518E-4</v>
      </c>
    </row>
    <row r="21" spans="2:14" x14ac:dyDescent="0.25">
      <c r="B21" t="str">
        <f>'SN distribution'!B30</f>
        <v>Kibaale</v>
      </c>
      <c r="C21" s="59">
        <v>0.20902299999999999</v>
      </c>
      <c r="D21" s="59">
        <v>3.9383469999999998</v>
      </c>
      <c r="E21" s="59">
        <v>21.087816</v>
      </c>
      <c r="F21" s="59">
        <v>1.2356830000000001</v>
      </c>
      <c r="G21" s="59">
        <f t="shared" si="0"/>
        <v>26.261846000000002</v>
      </c>
      <c r="H21" s="59">
        <v>0.45287300000000003</v>
      </c>
      <c r="I21" s="59">
        <f t="shared" si="1"/>
        <v>26.923742000000001</v>
      </c>
      <c r="K21" s="60">
        <f>IFERROR('SN distribution'!$R30/'LG finances'!C21, "-")</f>
        <v>0.22254989046311177</v>
      </c>
      <c r="L21" s="60">
        <f>IFERROR('SN distribution'!$R30/'LG finances'!G21, "-")</f>
        <v>1.7713166756926E-3</v>
      </c>
      <c r="M21" s="60">
        <f>IFERROR('SN distribution'!$R30/'LG finances'!H21, "-")</f>
        <v>0.10271763994380545</v>
      </c>
      <c r="N21" s="60">
        <f>IFERROR('SN distribution'!$R30/'LG finances'!I21, "-")</f>
        <v>1.7277704471492486E-3</v>
      </c>
    </row>
    <row r="22" spans="2:14" x14ac:dyDescent="0.25">
      <c r="B22" t="str">
        <f>'SN distribution'!B31</f>
        <v>Kikuube</v>
      </c>
      <c r="C22" s="59">
        <v>1.1321829999999999</v>
      </c>
      <c r="D22" s="59">
        <v>3.477592</v>
      </c>
      <c r="E22" s="59">
        <v>16.941289000000001</v>
      </c>
      <c r="F22" s="59">
        <v>12.364651</v>
      </c>
      <c r="G22" s="59">
        <f t="shared" si="0"/>
        <v>32.783532000000001</v>
      </c>
      <c r="H22" s="59">
        <v>2.295919</v>
      </c>
      <c r="I22" s="59">
        <f t="shared" si="1"/>
        <v>36.211633999999997</v>
      </c>
      <c r="K22" s="60">
        <f>IFERROR('SN distribution'!$R31/'LG finances'!C22, "-")</f>
        <v>7.2973391114323966E-2</v>
      </c>
      <c r="L22" s="60">
        <f>IFERROR('SN distribution'!$R31/'LG finances'!G22, "-")</f>
        <v>2.5201443478386847E-3</v>
      </c>
      <c r="M22" s="60">
        <f>IFERROR('SN distribution'!$R31/'LG finances'!H22, "-")</f>
        <v>3.5985255957195636E-2</v>
      </c>
      <c r="N22" s="60">
        <f>IFERROR('SN distribution'!$R31/'LG finances'!I22, "-")</f>
        <v>2.2815659981537608E-3</v>
      </c>
    </row>
    <row r="23" spans="2:14" x14ac:dyDescent="0.25">
      <c r="B23" t="str">
        <f>'SN distribution'!B32</f>
        <v>Kiryadongo</v>
      </c>
      <c r="C23" s="59">
        <v>0.14055899999999999</v>
      </c>
      <c r="D23" s="59">
        <v>8.9716570000000004</v>
      </c>
      <c r="E23" s="59">
        <v>20.167382</v>
      </c>
      <c r="F23" s="59">
        <v>17.394506</v>
      </c>
      <c r="G23" s="59">
        <f t="shared" si="0"/>
        <v>46.533545000000004</v>
      </c>
      <c r="H23" s="59">
        <v>1.61015</v>
      </c>
      <c r="I23" s="59">
        <f t="shared" si="1"/>
        <v>48.284254000000004</v>
      </c>
      <c r="K23" s="60">
        <f>IFERROR('SN distribution'!$R32/'LG finances'!C23, "-")</f>
        <v>0.33648829016738557</v>
      </c>
      <c r="L23" s="60">
        <f>IFERROR('SN distribution'!$R32/'LG finances'!G23, "-")</f>
        <v>1.0163948948578396E-3</v>
      </c>
      <c r="M23" s="60">
        <f>IFERROR('SN distribution'!$R32/'LG finances'!H23, "-")</f>
        <v>2.9373945022288326E-2</v>
      </c>
      <c r="N23" s="60">
        <f>IFERROR('SN distribution'!$R32/'LG finances'!I23, "-")</f>
        <v>9.7954205894198033E-4</v>
      </c>
    </row>
    <row r="24" spans="2:14" x14ac:dyDescent="0.25">
      <c r="B24" t="str">
        <f>'SN distribution'!B33</f>
        <v>Kitagwende</v>
      </c>
      <c r="C24" s="59">
        <v>0.71865800000000002</v>
      </c>
      <c r="D24" s="59">
        <v>3.0478149999999999</v>
      </c>
      <c r="E24" s="59">
        <v>16.351320999999999</v>
      </c>
      <c r="F24" s="59">
        <v>0.34797600000000001</v>
      </c>
      <c r="G24" s="59">
        <f t="shared" si="0"/>
        <v>19.747111999999998</v>
      </c>
      <c r="H24" s="59">
        <v>0.17169799999999999</v>
      </c>
      <c r="I24" s="59">
        <f t="shared" si="1"/>
        <v>20.637467999999998</v>
      </c>
      <c r="K24" s="60">
        <f>IFERROR('SN distribution'!$R33/'LG finances'!C24, "-")</f>
        <v>2.2278563839201976E-2</v>
      </c>
      <c r="L24" s="60">
        <f>IFERROR('SN distribution'!$R33/'LG finances'!G24, "-")</f>
        <v>8.1078530022786206E-4</v>
      </c>
      <c r="M24" s="60">
        <f>IFERROR('SN distribution'!$R33/'LG finances'!H24, "-")</f>
        <v>9.3249007743556808E-2</v>
      </c>
      <c r="N24" s="60">
        <f>IFERROR('SN distribution'!$R33/'LG finances'!I24, "-")</f>
        <v>7.7580583681841281E-4</v>
      </c>
    </row>
    <row r="25" spans="2:14" x14ac:dyDescent="0.25">
      <c r="B25" t="str">
        <f>'SN distribution'!B34</f>
        <v>Kyenjojo</v>
      </c>
      <c r="C25" s="59">
        <v>0.77592700000000003</v>
      </c>
      <c r="D25" s="59">
        <v>6.6158020000000004</v>
      </c>
      <c r="E25" s="59">
        <v>36.038637000000001</v>
      </c>
      <c r="F25" s="59">
        <v>2.3229510000000002</v>
      </c>
      <c r="G25" s="59">
        <f t="shared" si="0"/>
        <v>44.977390000000007</v>
      </c>
      <c r="H25" s="59">
        <v>0.43253399999999997</v>
      </c>
      <c r="I25" s="59">
        <f t="shared" si="1"/>
        <v>46.185851000000007</v>
      </c>
      <c r="K25" s="60">
        <f>IFERROR('SN distribution'!$R34/'LG finances'!C25, "-")</f>
        <v>6.3523755510992638E-2</v>
      </c>
      <c r="L25" s="60">
        <f>IFERROR('SN distribution'!$R34/'LG finances'!G25, "-")</f>
        <v>1.0958794417012187E-3</v>
      </c>
      <c r="M25" s="60">
        <f>IFERROR('SN distribution'!$R34/'LG finances'!H25, "-")</f>
        <v>0.11395589027077176</v>
      </c>
      <c r="N25" s="60">
        <f>IFERROR('SN distribution'!$R34/'LG finances'!I25, "-")</f>
        <v>1.0672055613390771E-3</v>
      </c>
    </row>
    <row r="26" spans="2:14" x14ac:dyDescent="0.25">
      <c r="B26" t="str">
        <f>'SN distribution'!B35</f>
        <v>Maracha</v>
      </c>
      <c r="C26" s="59">
        <v>0.183195</v>
      </c>
      <c r="D26" s="59">
        <v>3.159608</v>
      </c>
      <c r="E26" s="59">
        <v>23.317768999999998</v>
      </c>
      <c r="F26" s="59">
        <v>2.051679</v>
      </c>
      <c r="G26" s="59">
        <f t="shared" si="0"/>
        <v>28.529055999999997</v>
      </c>
      <c r="H26" s="59">
        <v>0.49148999999999998</v>
      </c>
      <c r="I26" s="59">
        <f t="shared" si="1"/>
        <v>29.203740999999997</v>
      </c>
      <c r="K26" s="60">
        <f>IFERROR('SN distribution'!$R35/'LG finances'!C26, "-")</f>
        <v>0.13292406028956277</v>
      </c>
      <c r="L26" s="60">
        <f>IFERROR('SN distribution'!$R35/'LG finances'!G26, "-")</f>
        <v>8.5355166412609139E-4</v>
      </c>
      <c r="M26" s="60">
        <f>IFERROR('SN distribution'!$R35/'LG finances'!H26, "-")</f>
        <v>4.9545307584582497E-2</v>
      </c>
      <c r="N26" s="60">
        <f>IFERROR('SN distribution'!$R35/'LG finances'!I26, "-")</f>
        <v>8.3383232390488778E-4</v>
      </c>
    </row>
    <row r="27" spans="2:14" x14ac:dyDescent="0.25">
      <c r="B27" t="str">
        <f>'SN distribution'!B36</f>
        <v>Masindi</v>
      </c>
      <c r="C27" s="59">
        <v>1.263517</v>
      </c>
      <c r="D27" s="59">
        <v>3.6613760000000002</v>
      </c>
      <c r="E27" s="59">
        <v>21.422816999999998</v>
      </c>
      <c r="F27" s="59">
        <v>10.292813000000001</v>
      </c>
      <c r="G27" s="59">
        <f t="shared" si="0"/>
        <v>35.377006000000002</v>
      </c>
      <c r="H27" s="59">
        <v>0.13159999999999999</v>
      </c>
      <c r="I27" s="59">
        <f t="shared" si="1"/>
        <v>36.772123000000001</v>
      </c>
      <c r="K27" s="60">
        <f>IFERROR('SN distribution'!$R36/'LG finances'!C27, "-")</f>
        <v>4.0579543663177481E-2</v>
      </c>
      <c r="L27" s="60">
        <f>IFERROR('SN distribution'!$R36/'LG finances'!G27, "-")</f>
        <v>1.4493296371848716E-3</v>
      </c>
      <c r="M27" s="60">
        <f>IFERROR('SN distribution'!$R36/'LG finances'!H27, "-")</f>
        <v>0.38961203093212027</v>
      </c>
      <c r="N27" s="60">
        <f>IFERROR('SN distribution'!$R36/'LG finances'!I27, "-")</f>
        <v>1.3943427544465415E-3</v>
      </c>
    </row>
    <row r="28" spans="2:14" x14ac:dyDescent="0.25">
      <c r="B28" t="str">
        <f>'SN distribution'!B37</f>
        <v>Mitooma</v>
      </c>
      <c r="C28" s="59">
        <v>0.57780600000000004</v>
      </c>
      <c r="D28" s="59">
        <v>3.4077760000000001</v>
      </c>
      <c r="E28" s="59">
        <v>23.742457999999999</v>
      </c>
      <c r="F28" s="59">
        <v>2.414552</v>
      </c>
      <c r="G28" s="59">
        <f t="shared" si="0"/>
        <v>29.564785999999998</v>
      </c>
      <c r="H28" s="59">
        <v>0</v>
      </c>
      <c r="I28" s="59">
        <f t="shared" si="1"/>
        <v>30.142591999999997</v>
      </c>
      <c r="K28" s="60">
        <f>IFERROR('SN distribution'!$R37/'LG finances'!C28, "-")</f>
        <v>2.5829680634647571E-2</v>
      </c>
      <c r="L28" s="60">
        <f>IFERROR('SN distribution'!$R37/'LG finances'!G28, "-")</f>
        <v>5.0480813386517246E-4</v>
      </c>
      <c r="M28" s="60" t="str">
        <f>IFERROR('SN distribution'!$R37/'LG finances'!H28, "-")</f>
        <v>-</v>
      </c>
      <c r="N28" s="60">
        <f>IFERROR('SN distribution'!$R37/'LG finances'!I28, "-")</f>
        <v>4.9513142230048354E-4</v>
      </c>
    </row>
    <row r="29" spans="2:14" x14ac:dyDescent="0.25">
      <c r="B29" t="str">
        <f>'SN distribution'!B38</f>
        <v>Moyo</v>
      </c>
      <c r="C29" s="59">
        <v>0.82950000000000002</v>
      </c>
      <c r="D29" s="59">
        <v>3.6635979999999999</v>
      </c>
      <c r="E29" s="59">
        <v>19.188479000000001</v>
      </c>
      <c r="F29" s="59">
        <v>13.93004</v>
      </c>
      <c r="G29" s="59">
        <f t="shared" si="0"/>
        <v>36.782117</v>
      </c>
      <c r="H29" s="59">
        <v>6.9729999999999999</v>
      </c>
      <c r="I29" s="59">
        <f t="shared" si="1"/>
        <v>44.584617000000001</v>
      </c>
      <c r="K29" s="60">
        <f>IFERROR('SN distribution'!$R38/'LG finances'!C29, "-")</f>
        <v>2.6119662748896554E-2</v>
      </c>
      <c r="L29" s="60">
        <f>IFERROR('SN distribution'!$R38/'LG finances'!G29, "-")</f>
        <v>5.8904331825733935E-4</v>
      </c>
      <c r="M29" s="60">
        <f>IFERROR('SN distribution'!$R38/'LG finances'!H29, "-")</f>
        <v>3.1071648143137379E-3</v>
      </c>
      <c r="N29" s="60">
        <f>IFERROR('SN distribution'!$R38/'LG finances'!I29, "-")</f>
        <v>4.8595820056522392E-4</v>
      </c>
    </row>
    <row r="30" spans="2:14" x14ac:dyDescent="0.25">
      <c r="B30" t="str">
        <f>'SN distribution'!B39</f>
        <v>Nebbi</v>
      </c>
      <c r="C30" s="59">
        <v>0.59099999999999997</v>
      </c>
      <c r="D30" s="59">
        <v>4.6627470000000004</v>
      </c>
      <c r="E30" s="59">
        <v>26.812117000000001</v>
      </c>
      <c r="F30" s="59">
        <v>0.885104</v>
      </c>
      <c r="G30" s="59">
        <f t="shared" si="0"/>
        <v>32.359968000000002</v>
      </c>
      <c r="H30" s="59">
        <v>0.89</v>
      </c>
      <c r="I30" s="59">
        <f t="shared" si="1"/>
        <v>33.840968000000004</v>
      </c>
      <c r="K30" s="60">
        <f>IFERROR('SN distribution'!$R39/'LG finances'!C30, "-")</f>
        <v>5.3371445934305289E-2</v>
      </c>
      <c r="L30" s="60">
        <f>IFERROR('SN distribution'!$R39/'LG finances'!G30, "-")</f>
        <v>9.7473905249765463E-4</v>
      </c>
      <c r="M30" s="60">
        <f>IFERROR('SN distribution'!$R39/'LG finances'!H30, "-")</f>
        <v>3.5441038817049915E-2</v>
      </c>
      <c r="N30" s="60">
        <f>IFERROR('SN distribution'!$R39/'LG finances'!I30, "-")</f>
        <v>9.3208103701922544E-4</v>
      </c>
    </row>
    <row r="31" spans="2:14" x14ac:dyDescent="0.25">
      <c r="B31" t="str">
        <f>'SN distribution'!B40</f>
        <v>Ntoroko</v>
      </c>
      <c r="C31" s="59">
        <v>0.77971999999999997</v>
      </c>
      <c r="D31" s="59">
        <v>3.1698740000000001</v>
      </c>
      <c r="E31" s="59">
        <v>12.956689000000001</v>
      </c>
      <c r="F31" s="59">
        <v>1.133464</v>
      </c>
      <c r="G31" s="59">
        <f t="shared" si="0"/>
        <v>17.260027000000001</v>
      </c>
      <c r="H31" s="59">
        <v>0.64900000000000002</v>
      </c>
      <c r="I31" s="59">
        <f t="shared" si="1"/>
        <v>18.688747000000003</v>
      </c>
      <c r="K31" s="60">
        <f>IFERROR('SN distribution'!$R40/'LG finances'!C31, "-")</f>
        <v>7.5431552462400783E-2</v>
      </c>
      <c r="L31" s="60">
        <f>IFERROR('SN distribution'!$R40/'LG finances'!G31, "-")</f>
        <v>3.4076128667691616E-3</v>
      </c>
      <c r="M31" s="60">
        <f>IFERROR('SN distribution'!$R40/'LG finances'!H31, "-")</f>
        <v>9.0624792120158906E-2</v>
      </c>
      <c r="N31" s="60">
        <f>IFERROR('SN distribution'!$R40/'LG finances'!I31, "-")</f>
        <v>3.1471071916155282E-3</v>
      </c>
    </row>
    <row r="32" spans="2:14" x14ac:dyDescent="0.25">
      <c r="B32" t="str">
        <f>'SN distribution'!B41</f>
        <v>Nwoya</v>
      </c>
      <c r="C32" s="59">
        <v>0.61693100000000001</v>
      </c>
      <c r="D32" s="59">
        <v>3.6800030000000001</v>
      </c>
      <c r="E32" s="59">
        <v>18.284787999999999</v>
      </c>
      <c r="F32" s="59">
        <v>3.3567680000000002</v>
      </c>
      <c r="G32" s="59">
        <f t="shared" si="0"/>
        <v>25.321558999999997</v>
      </c>
      <c r="H32" s="59">
        <v>3.3869989999999999</v>
      </c>
      <c r="I32" s="59">
        <f t="shared" si="1"/>
        <v>29.325488999999997</v>
      </c>
      <c r="K32" s="60">
        <f>IFERROR('SN distribution'!$R41/'LG finances'!C32, "-")</f>
        <v>0.78923805080290987</v>
      </c>
      <c r="L32" s="60">
        <f>IFERROR('SN distribution'!$R41/'LG finances'!G32, "-")</f>
        <v>1.9228887917994705E-2</v>
      </c>
      <c r="M32" s="60">
        <f>IFERROR('SN distribution'!$R41/'LG finances'!H32, "-")</f>
        <v>0.14375717852880679</v>
      </c>
      <c r="N32" s="60">
        <f>IFERROR('SN distribution'!$R41/'LG finances'!I32, "-")</f>
        <v>1.6603488518806626E-2</v>
      </c>
    </row>
    <row r="33" spans="2:14" x14ac:dyDescent="0.25">
      <c r="B33" t="str">
        <f>'SN distribution'!B42</f>
        <v>Obongi</v>
      </c>
      <c r="C33" s="59">
        <v>0.7</v>
      </c>
      <c r="D33" s="59">
        <v>4.3965269999999999</v>
      </c>
      <c r="E33" s="59">
        <v>8.9415809999999993</v>
      </c>
      <c r="F33" s="59">
        <v>25.738257000000001</v>
      </c>
      <c r="G33" s="59">
        <f t="shared" si="0"/>
        <v>39.076364999999996</v>
      </c>
      <c r="H33" s="59">
        <v>2.2104970000000002</v>
      </c>
      <c r="I33" s="59">
        <f t="shared" si="1"/>
        <v>41.986862000000002</v>
      </c>
      <c r="K33" s="60">
        <f>IFERROR('SN distribution'!$R42/'LG finances'!C33, "-")</f>
        <v>1.5614905665690201E-2</v>
      </c>
      <c r="L33" s="60">
        <f>IFERROR('SN distribution'!$R42/'LG finances'!G33, "-")</f>
        <v>2.7971982465572581E-4</v>
      </c>
      <c r="M33" s="60">
        <f>IFERROR('SN distribution'!$R42/'LG finances'!H33, "-")</f>
        <v>4.9447857047456474E-3</v>
      </c>
      <c r="N33" s="60">
        <f>IFERROR('SN distribution'!$R42/'LG finances'!I33, "-")</f>
        <v>2.6032986142148797E-4</v>
      </c>
    </row>
    <row r="34" spans="2:14" x14ac:dyDescent="0.25">
      <c r="B34" t="str">
        <f>'SN distribution'!B43</f>
        <v>Rubirizi</v>
      </c>
      <c r="C34" s="59">
        <v>0.36842000000000003</v>
      </c>
      <c r="D34" s="59">
        <v>3.3423069999999999</v>
      </c>
      <c r="E34" s="59">
        <v>16.387163999999999</v>
      </c>
      <c r="F34" s="59">
        <v>1.1931229999999999</v>
      </c>
      <c r="G34" s="59">
        <f t="shared" si="0"/>
        <v>20.922593999999997</v>
      </c>
      <c r="H34" s="59">
        <v>0.282862</v>
      </c>
      <c r="I34" s="59">
        <f t="shared" si="1"/>
        <v>21.573875999999998</v>
      </c>
      <c r="K34" s="60">
        <f>IFERROR('SN distribution'!$R43/'LG finances'!C34, "-")</f>
        <v>4.5797735644201046E-2</v>
      </c>
      <c r="L34" s="60">
        <f>IFERROR('SN distribution'!$R43/'LG finances'!G34, "-")</f>
        <v>8.0643928597173723E-4</v>
      </c>
      <c r="M34" s="60">
        <f>IFERROR('SN distribution'!$R43/'LG finances'!H34, "-")</f>
        <v>5.9650295076880425E-2</v>
      </c>
      <c r="N34" s="60">
        <f>IFERROR('SN distribution'!$R43/'LG finances'!I34, "-")</f>
        <v>7.8209412930882471E-4</v>
      </c>
    </row>
    <row r="35" spans="2:14" x14ac:dyDescent="0.25">
      <c r="B35" t="str">
        <f>'SN distribution'!B44</f>
        <v>Rukungiri</v>
      </c>
      <c r="C35" s="59">
        <v>0.81077200000000005</v>
      </c>
      <c r="D35" s="59">
        <v>4.663348</v>
      </c>
      <c r="E35" s="59">
        <v>39.898387</v>
      </c>
      <c r="F35" s="59">
        <v>1.0196970000000001</v>
      </c>
      <c r="G35" s="59">
        <f t="shared" si="0"/>
        <v>45.581432</v>
      </c>
      <c r="H35" s="59">
        <v>0.98</v>
      </c>
      <c r="I35" s="59">
        <f t="shared" si="1"/>
        <v>47.372203999999996</v>
      </c>
      <c r="K35" s="60">
        <f>IFERROR('SN distribution'!$R44/'LG finances'!C35, "-")</f>
        <v>3.6732600909004598E-2</v>
      </c>
      <c r="L35" s="60">
        <f>IFERROR('SN distribution'!$R44/'LG finances'!G35, "-")</f>
        <v>6.5337491600078463E-4</v>
      </c>
      <c r="M35" s="60">
        <f>IFERROR('SN distribution'!$R44/'LG finances'!H35, "-")</f>
        <v>3.0389555412444366E-2</v>
      </c>
      <c r="N35" s="60">
        <f>IFERROR('SN distribution'!$R44/'LG finances'!I35, "-")</f>
        <v>6.2867592785413736E-4</v>
      </c>
    </row>
    <row r="36" spans="2:14" x14ac:dyDescent="0.25">
      <c r="B36" t="str">
        <f>'SN distribution'!B45</f>
        <v>Terego</v>
      </c>
      <c r="C36" s="59">
        <v>0.38</v>
      </c>
      <c r="D36" s="59">
        <v>7.4315730000000002</v>
      </c>
      <c r="E36" s="59">
        <v>21.305654000000001</v>
      </c>
      <c r="F36" s="59">
        <v>15.908523000000001</v>
      </c>
      <c r="G36" s="59">
        <f t="shared" si="0"/>
        <v>44.64575</v>
      </c>
      <c r="H36" s="59">
        <v>1.890417</v>
      </c>
      <c r="I36" s="59">
        <f t="shared" si="1"/>
        <v>46.916167000000002</v>
      </c>
      <c r="K36" s="60">
        <f>IFERROR('SN distribution'!$R45/'LG finances'!C36, "-")</f>
        <v>5.8045057844539526E-2</v>
      </c>
      <c r="L36" s="60">
        <f>IFERROR('SN distribution'!$R45/'LG finances'!G36, "-")</f>
        <v>4.9404751809354805E-4</v>
      </c>
      <c r="M36" s="60">
        <f>IFERROR('SN distribution'!$R45/'LG finances'!H36, "-")</f>
        <v>1.1667860573050824E-2</v>
      </c>
      <c r="N36" s="60">
        <f>IFERROR('SN distribution'!$R45/'LG finances'!I36, "-")</f>
        <v>4.701390456923947E-4</v>
      </c>
    </row>
    <row r="37" spans="2:14" x14ac:dyDescent="0.25">
      <c r="B37" t="str">
        <f>'SN distribution'!B46</f>
        <v>Yumbe</v>
      </c>
      <c r="C37" s="59">
        <v>3.1770000000000001E-3</v>
      </c>
      <c r="D37" s="59">
        <v>15.927996</v>
      </c>
      <c r="E37" s="59">
        <v>41.865101000000003</v>
      </c>
      <c r="F37" s="59">
        <v>33.666741000000002</v>
      </c>
      <c r="G37" s="59">
        <f t="shared" si="0"/>
        <v>91.459838000000005</v>
      </c>
      <c r="H37" s="59">
        <v>3.814378</v>
      </c>
      <c r="I37" s="59">
        <f t="shared" si="1"/>
        <v>95.277393000000004</v>
      </c>
      <c r="K37" s="60">
        <f>IFERROR('SN distribution'!$R46/'LG finances'!C37, "-")</f>
        <v>18.283537515196549</v>
      </c>
      <c r="L37" s="60">
        <f>IFERROR('SN distribution'!$R46/'LG finances'!G37, "-")</f>
        <v>6.3510716786727118E-4</v>
      </c>
      <c r="M37" s="60">
        <f>IFERROR('SN distribution'!$R46/'LG finances'!H37, "-")</f>
        <v>1.5228380272164803E-2</v>
      </c>
      <c r="N37" s="60">
        <f>IFERROR('SN distribution'!$R46/'LG finances'!I37, "-")</f>
        <v>6.0965982440115078E-4</v>
      </c>
    </row>
    <row r="38" spans="2:14" x14ac:dyDescent="0.25">
      <c r="B38" s="13" t="s">
        <v>25</v>
      </c>
      <c r="C38" s="61">
        <f t="shared" ref="C38:I38" si="2">SUM(C4:C37)</f>
        <v>28.121678000000003</v>
      </c>
      <c r="D38" s="61">
        <f t="shared" si="2"/>
        <v>185.68640900000003</v>
      </c>
      <c r="E38" s="61">
        <f t="shared" si="2"/>
        <v>797.76634000000001</v>
      </c>
      <c r="F38" s="61">
        <f t="shared" si="2"/>
        <v>248.47575499999999</v>
      </c>
      <c r="G38" s="61">
        <f t="shared" si="2"/>
        <v>1231.9285039999997</v>
      </c>
      <c r="H38" s="61">
        <f t="shared" si="2"/>
        <v>50.191140000000011</v>
      </c>
      <c r="I38" s="61">
        <f t="shared" si="2"/>
        <v>1310.2413220000001</v>
      </c>
      <c r="J38" s="13"/>
      <c r="K38" s="62">
        <f>IFERROR('SN distribution'!$R47/'LG finances'!C38, "-")</f>
        <v>7.4371280092441025E-2</v>
      </c>
      <c r="L38" s="62">
        <f>IFERROR('SN distribution'!$R47/'LG finances'!G38, "-")</f>
        <v>1.6977001379679395E-3</v>
      </c>
      <c r="M38" s="62">
        <f>IFERROR('SN distribution'!$R47/'LG finances'!H38, "-")</f>
        <v>4.1669609241938646E-2</v>
      </c>
      <c r="N38" s="62">
        <f>IFERROR('SN distribution'!$R47/'LG finances'!I38, "-")</f>
        <v>1.5962289969720835E-3</v>
      </c>
    </row>
  </sheetData>
  <sortState xmlns:xlrd2="http://schemas.microsoft.com/office/spreadsheetml/2017/richdata2" ref="B4:I37">
    <sortCondition ref="B4:B37"/>
  </sortState>
  <phoneticPr fontId="7" type="noConversion"/>
  <conditionalFormatting sqref="K4:N38">
    <cfRule type="cellIs" dxfId="2" priority="1" operator="between">
      <formula>0.25</formula>
      <formula>0.5</formula>
    </cfRule>
    <cfRule type="cellIs" dxfId="1" priority="2" operator="greaterThan">
      <formula>1</formula>
    </cfRule>
    <cfRule type="cellIs" dxfId="0" priority="3" operator="between">
      <formula>0.5</formula>
      <formula>1</formula>
    </cfRule>
  </conditionalFormatting>
  <pageMargins left="0.7" right="0.7" top="0.75" bottom="0.75" header="0.3" footer="0.3"/>
  <pageSetup orientation="portrait" r:id="rId1"/>
  <ignoredErrors>
    <ignoredError sqref="G4:G38"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Front</vt:lpstr>
      <vt:lpstr>Revenue projections</vt:lpstr>
      <vt:lpstr>SN distribution</vt:lpstr>
      <vt:lpstr>LG finances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Scurfield" &lt;tscurfield@resourcegovernance.org&gt;;Paul Bagabo</dc:creator>
  <cp:keywords/>
  <dc:description/>
  <cp:lastModifiedBy>Alexandra Malmqvist</cp:lastModifiedBy>
  <cp:revision/>
  <dcterms:created xsi:type="dcterms:W3CDTF">2016-03-04T10:19:29Z</dcterms:created>
  <dcterms:modified xsi:type="dcterms:W3CDTF">2022-08-24T13:26:18Z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{92E393EB-BD4B-423D-A174-99A61C6F15CD}</vt:lpwstr>
  </property>
</Properties>
</file>